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2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bruceleroymajid-davis/"/>
    </mc:Choice>
  </mc:AlternateContent>
  <xr:revisionPtr revIDLastSave="0" documentId="13_ncr:1_{B1496953-836F-184D-B1D1-0221CCD867CB}" xr6:coauthVersionLast="47" xr6:coauthVersionMax="47" xr10:uidLastSave="{00000000-0000-0000-0000-000000000000}"/>
  <bookViews>
    <workbookView xWindow="0" yWindow="500" windowWidth="28800" windowHeight="16280" tabRatio="764" xr2:uid="{00000000-000D-0000-FFFF-FFFF00000000}"/>
  </bookViews>
  <sheets>
    <sheet name="Consolidated and ROE" sheetId="10" r:id="rId1"/>
    <sheet name="Cost" sheetId="11" r:id="rId2"/>
    <sheet name="Infra" sheetId="18" r:id="rId3"/>
    <sheet name="Assumptions" sheetId="7" r:id="rId4"/>
    <sheet name="Land Value Summary" sheetId="24" r:id="rId5"/>
    <sheet name="TIF" sheetId="9" r:id="rId6"/>
    <sheet name="Market Housing NOI" sheetId="25" r:id="rId7"/>
    <sheet name="Affordable Housing NOI" sheetId="2" r:id="rId8"/>
    <sheet name="Office NOI" sheetId="3" r:id="rId9"/>
    <sheet name="Retail NOI" sheetId="4" r:id="rId10"/>
    <sheet name="Hotel NOI" sheetId="13" r:id="rId11"/>
    <sheet name="PAF " sheetId="26" r:id="rId12"/>
    <sheet name="Parking NOI" sheetId="5" r:id="rId13"/>
    <sheet name="Park+Greenspace Space NOI" sheetId="6" r:id="rId14"/>
    <sheet name="I" sheetId="19" r:id="rId15"/>
    <sheet name="II" sheetId="20" r:id="rId16"/>
    <sheet name="III" sheetId="21" r:id="rId17"/>
    <sheet name="Square Footage" sheetId="23" r:id="rId18"/>
    <sheet name="Transit Stop NOI" sheetId="12" r:id="rId19"/>
  </sheets>
  <externalReferences>
    <externalReference r:id="rId20"/>
  </externalReferences>
  <definedNames>
    <definedName name="amortizationschedule">[1]cockpit!$S$31</definedName>
    <definedName name="Beg_Bal">-FV([1]p2!Interest_Rate/12,[1]p2!Payment_Number-1,-[1]p2!Monthly_Payment,[1]p2!Loan_Amount)</definedName>
    <definedName name="Beginning_Balance">-FV(Interest_Rate/12,Payment_Number-1,-Monthly_Payment,Loan_Amount)</definedName>
    <definedName name="Constructiontime">[1]cockpit!$K$28</definedName>
    <definedName name="Developerfee">[1]cockpit!$K$29</definedName>
    <definedName name="dispositionyear">[1]cockpit!$K$50</definedName>
    <definedName name="Ending_Balance">-FV(Interest_Rate/12,Payment_Number,-Monthly_Payment,Loan_Amount)</definedName>
    <definedName name="Header_Row">ROW([1]p1!$17:$17)</definedName>
    <definedName name="Interest">-IPMT(Interest_Rate/12,Payment_Number,Number_of_Payments,Loan_Amount)</definedName>
    <definedName name="Interest_Rate">[1]p1!$E$4</definedName>
    <definedName name="Last_Row">IF(Values_Entered,Header_Row+Number_of_Payments,Header_Row)</definedName>
    <definedName name="Loan_Amount">[1]p1!$E$3</definedName>
    <definedName name="Loan_Not_Paid">IF(Payment_Number&lt;=Number_of_Payments,1,0)</definedName>
    <definedName name="Loan_Start">[1]p1!$E$6</definedName>
    <definedName name="Loan_Years">[1]p1!$E$5</definedName>
    <definedName name="Monthly_Payment">-PMT(Interest_Rate/12,Number_of_Payments,Loan_Amount)</definedName>
    <definedName name="Num_Pmt">#REF!</definedName>
    <definedName name="Number_of_Payments">[1]p1!$E$9</definedName>
    <definedName name="Payment_Number">ROW()-Header_Row</definedName>
    <definedName name="permanentinterestrate">[1]cockpit!$S$30</definedName>
    <definedName name="Phase1begin">[1]cockpit!$K$24</definedName>
    <definedName name="Phase1end">[1]cockpit!$L$24</definedName>
    <definedName name="Phase1open">[1]cockpit!$M$24</definedName>
    <definedName name="Phase2open">[1]cockpit!$M$25</definedName>
    <definedName name="Phase3open">[1]cockpit!$M$26</definedName>
    <definedName name="Prin">-PPMT([1]p2!Interest_Rate/12,[1]p2!Payment_Number,[1]p2!Number_of_Payments,[1]p2!Loan_Amount)</definedName>
    <definedName name="Principal">-PPMT(Interest_Rate/12,Payment_Number,Number_of_Payments,Loan_Amount)</definedName>
    <definedName name="Total_Cost">#REF!</definedName>
    <definedName name="Values_Entered">IF(Loan_Amount*Interest_Rate*Loan_Years*Loan_Start&gt;0,1,0)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0" i="10" l="1"/>
  <c r="E29" i="10"/>
  <c r="D38" i="10"/>
  <c r="F28" i="10"/>
  <c r="G28" i="10"/>
  <c r="H28" i="10"/>
  <c r="I28" i="10"/>
  <c r="J28" i="10"/>
  <c r="K28" i="10"/>
  <c r="L28" i="10"/>
  <c r="M28" i="10"/>
  <c r="N28" i="10"/>
  <c r="E28" i="10"/>
  <c r="F24" i="10"/>
  <c r="G24" i="10"/>
  <c r="H24" i="10"/>
  <c r="I24" i="10"/>
  <c r="J24" i="10"/>
  <c r="K24" i="10"/>
  <c r="L24" i="10"/>
  <c r="M24" i="10"/>
  <c r="N24" i="10"/>
  <c r="E24" i="10"/>
  <c r="F23" i="10"/>
  <c r="G23" i="10"/>
  <c r="H23" i="10"/>
  <c r="I23" i="10"/>
  <c r="J23" i="10"/>
  <c r="K23" i="10"/>
  <c r="L23" i="10"/>
  <c r="M23" i="10"/>
  <c r="N23" i="10"/>
  <c r="E23" i="10"/>
  <c r="F22" i="10"/>
  <c r="G22" i="10"/>
  <c r="H22" i="10"/>
  <c r="I22" i="10"/>
  <c r="J22" i="10"/>
  <c r="K22" i="10"/>
  <c r="L22" i="10"/>
  <c r="M22" i="10"/>
  <c r="N22" i="10"/>
  <c r="E22" i="10"/>
  <c r="F21" i="10"/>
  <c r="G21" i="10"/>
  <c r="H21" i="10"/>
  <c r="I21" i="10"/>
  <c r="J21" i="10"/>
  <c r="K21" i="10"/>
  <c r="L21" i="10"/>
  <c r="M21" i="10"/>
  <c r="N21" i="10"/>
  <c r="E21" i="10"/>
  <c r="F20" i="10"/>
  <c r="G20" i="10"/>
  <c r="H20" i="10"/>
  <c r="I20" i="10"/>
  <c r="J20" i="10"/>
  <c r="K20" i="10"/>
  <c r="L20" i="10"/>
  <c r="M20" i="10"/>
  <c r="N20" i="10"/>
  <c r="E20" i="10"/>
  <c r="F17" i="10"/>
  <c r="G17" i="10"/>
  <c r="H17" i="10"/>
  <c r="I17" i="10"/>
  <c r="J17" i="10"/>
  <c r="K17" i="10"/>
  <c r="L17" i="10"/>
  <c r="M17" i="10"/>
  <c r="N17" i="10"/>
  <c r="E17" i="10"/>
  <c r="F15" i="10"/>
  <c r="G15" i="10"/>
  <c r="H15" i="10"/>
  <c r="I15" i="10"/>
  <c r="J15" i="10"/>
  <c r="K15" i="10"/>
  <c r="L15" i="10"/>
  <c r="M15" i="10"/>
  <c r="N15" i="10"/>
  <c r="E15" i="10"/>
  <c r="M14" i="10"/>
  <c r="N14" i="10"/>
  <c r="G14" i="10"/>
  <c r="H14" i="10"/>
  <c r="I14" i="10"/>
  <c r="J14" i="10"/>
  <c r="K14" i="10"/>
  <c r="L14" i="10"/>
  <c r="F14" i="10"/>
  <c r="E14" i="10"/>
  <c r="G9" i="10"/>
  <c r="S8" i="10"/>
  <c r="E31" i="25"/>
  <c r="K30" i="2"/>
  <c r="J30" i="2"/>
  <c r="I30" i="2"/>
  <c r="N29" i="13"/>
  <c r="G29" i="4"/>
  <c r="H29" i="4"/>
  <c r="I29" i="4"/>
  <c r="J29" i="4"/>
  <c r="K29" i="4"/>
  <c r="L29" i="4"/>
  <c r="M29" i="4"/>
  <c r="N29" i="4"/>
  <c r="F29" i="4"/>
  <c r="I29" i="3"/>
  <c r="H29" i="3"/>
  <c r="G29" i="3"/>
  <c r="J29" i="3"/>
  <c r="K29" i="3"/>
  <c r="L29" i="3"/>
  <c r="M29" i="3"/>
  <c r="N29" i="3"/>
  <c r="F29" i="3"/>
  <c r="G30" i="25"/>
  <c r="H30" i="25"/>
  <c r="I30" i="25"/>
  <c r="J30" i="25"/>
  <c r="K30" i="25"/>
  <c r="L30" i="25"/>
  <c r="M30" i="25"/>
  <c r="N30" i="25"/>
  <c r="F30" i="25"/>
  <c r="E17" i="12"/>
  <c r="F17" i="12"/>
  <c r="G17" i="12"/>
  <c r="H17" i="12"/>
  <c r="I17" i="12"/>
  <c r="J17" i="12"/>
  <c r="K17" i="12"/>
  <c r="L17" i="12"/>
  <c r="M17" i="12"/>
  <c r="N17" i="12"/>
  <c r="O6" i="10"/>
  <c r="F21" i="26"/>
  <c r="G21" i="26"/>
  <c r="H21" i="26"/>
  <c r="I21" i="26"/>
  <c r="J21" i="26"/>
  <c r="K21" i="26"/>
  <c r="L21" i="26"/>
  <c r="M21" i="26"/>
  <c r="N21" i="26"/>
  <c r="O21" i="26"/>
  <c r="P21" i="26"/>
  <c r="Q21" i="26"/>
  <c r="R21" i="26"/>
  <c r="S21" i="26"/>
  <c r="T21" i="26"/>
  <c r="U21" i="26"/>
  <c r="V21" i="26"/>
  <c r="W21" i="26"/>
  <c r="X21" i="26"/>
  <c r="Y21" i="26"/>
  <c r="Z21" i="26"/>
  <c r="AA21" i="26"/>
  <c r="AB21" i="26"/>
  <c r="AC21" i="26"/>
  <c r="AD21" i="26"/>
  <c r="AE21" i="26"/>
  <c r="AF21" i="26"/>
  <c r="AG21" i="26"/>
  <c r="AH21" i="26"/>
  <c r="E21" i="26"/>
  <c r="Q22" i="26"/>
  <c r="R22" i="26"/>
  <c r="S22" i="26"/>
  <c r="T22" i="26"/>
  <c r="U22" i="26"/>
  <c r="V22" i="26"/>
  <c r="W22" i="26"/>
  <c r="X22" i="26"/>
  <c r="Y22" i="26"/>
  <c r="Z22" i="26"/>
  <c r="AA22" i="26"/>
  <c r="AB22" i="26"/>
  <c r="AC22" i="26"/>
  <c r="AD22" i="26"/>
  <c r="AE22" i="26"/>
  <c r="AF22" i="26"/>
  <c r="AG22" i="26"/>
  <c r="AH22" i="26"/>
  <c r="E23" i="26"/>
  <c r="F23" i="26"/>
  <c r="G23" i="26"/>
  <c r="H23" i="26"/>
  <c r="I23" i="26"/>
  <c r="J23" i="26"/>
  <c r="K23" i="26"/>
  <c r="L23" i="26"/>
  <c r="M23" i="26"/>
  <c r="N23" i="26"/>
  <c r="O23" i="26"/>
  <c r="P23" i="26"/>
  <c r="F22" i="26"/>
  <c r="G22" i="26"/>
  <c r="H22" i="26"/>
  <c r="I22" i="26"/>
  <c r="J22" i="26"/>
  <c r="K22" i="26"/>
  <c r="L22" i="26"/>
  <c r="M22" i="26"/>
  <c r="N22" i="26"/>
  <c r="O22" i="26"/>
  <c r="P22" i="26"/>
  <c r="E22" i="26"/>
  <c r="N4" i="5"/>
  <c r="M4" i="5"/>
  <c r="L4" i="5"/>
  <c r="K4" i="5"/>
  <c r="J4" i="5"/>
  <c r="I4" i="5"/>
  <c r="H4" i="5"/>
  <c r="G4" i="5"/>
  <c r="F4" i="5"/>
  <c r="E4" i="5"/>
  <c r="K18" i="18"/>
  <c r="L18" i="18"/>
  <c r="M18" i="18"/>
  <c r="N18" i="18"/>
  <c r="O18" i="18"/>
  <c r="F18" i="18"/>
  <c r="G18" i="18"/>
  <c r="H18" i="18"/>
  <c r="I18" i="18"/>
  <c r="J18" i="18"/>
  <c r="E18" i="18"/>
  <c r="D18" i="18"/>
  <c r="R18" i="18"/>
  <c r="N4" i="13"/>
  <c r="L4" i="13"/>
  <c r="M4" i="13"/>
  <c r="K4" i="13"/>
  <c r="J4" i="13"/>
  <c r="I4" i="13"/>
  <c r="H4" i="13"/>
  <c r="G4" i="13"/>
  <c r="F4" i="13"/>
  <c r="E4" i="13"/>
  <c r="N4" i="3"/>
  <c r="M4" i="3"/>
  <c r="L4" i="3"/>
  <c r="K4" i="3"/>
  <c r="J4" i="3"/>
  <c r="I4" i="3"/>
  <c r="H4" i="3"/>
  <c r="G4" i="3"/>
  <c r="F4" i="3"/>
  <c r="E4" i="3"/>
  <c r="E5" i="3" s="1"/>
  <c r="I4" i="4"/>
  <c r="H4" i="4"/>
  <c r="G4" i="4"/>
  <c r="F4" i="4"/>
  <c r="I4" i="25"/>
  <c r="H4" i="25"/>
  <c r="G4" i="25"/>
  <c r="F4" i="25"/>
  <c r="H4" i="2"/>
  <c r="I4" i="2"/>
  <c r="J4" i="2"/>
  <c r="G4" i="2"/>
  <c r="F4" i="2"/>
  <c r="E4" i="2"/>
  <c r="E4" i="25"/>
  <c r="K4" i="2"/>
  <c r="L4" i="2"/>
  <c r="M4" i="2"/>
  <c r="N4" i="2"/>
  <c r="E4" i="4"/>
  <c r="B21" i="7"/>
  <c r="K89" i="18"/>
  <c r="F39" i="26"/>
  <c r="F40" i="26" s="1"/>
  <c r="AA7" i="26"/>
  <c r="AB7" i="26"/>
  <c r="AC7" i="26"/>
  <c r="AD7" i="26"/>
  <c r="AE7" i="26"/>
  <c r="AF7" i="26"/>
  <c r="AG7" i="26"/>
  <c r="AH7" i="26"/>
  <c r="AA13" i="26"/>
  <c r="AB13" i="26"/>
  <c r="AC13" i="26"/>
  <c r="AD13" i="26"/>
  <c r="AE13" i="26"/>
  <c r="AF13" i="26"/>
  <c r="AG13" i="26"/>
  <c r="AH13" i="26"/>
  <c r="AA19" i="26"/>
  <c r="AB19" i="26"/>
  <c r="AC19" i="26"/>
  <c r="AD19" i="26"/>
  <c r="AE19" i="26"/>
  <c r="AF19" i="26"/>
  <c r="AG19" i="26"/>
  <c r="AH19" i="26"/>
  <c r="AA26" i="26"/>
  <c r="AB26" i="26"/>
  <c r="AC26" i="26"/>
  <c r="AD26" i="26"/>
  <c r="AE26" i="26"/>
  <c r="AF26" i="26"/>
  <c r="AG26" i="26"/>
  <c r="AH26" i="26"/>
  <c r="C35" i="12"/>
  <c r="C34" i="12"/>
  <c r="F56" i="7"/>
  <c r="F36" i="7"/>
  <c r="F39" i="7"/>
  <c r="O7" i="26"/>
  <c r="P7" i="26"/>
  <c r="Q7" i="26"/>
  <c r="R7" i="26"/>
  <c r="S7" i="26"/>
  <c r="T7" i="26"/>
  <c r="U7" i="26"/>
  <c r="V7" i="26"/>
  <c r="W7" i="26"/>
  <c r="X7" i="26"/>
  <c r="Y7" i="26"/>
  <c r="Z7" i="26"/>
  <c r="O13" i="26"/>
  <c r="P13" i="26"/>
  <c r="Q13" i="26"/>
  <c r="R13" i="26"/>
  <c r="S13" i="26"/>
  <c r="T13" i="26"/>
  <c r="U13" i="26"/>
  <c r="V13" i="26"/>
  <c r="W13" i="26"/>
  <c r="X13" i="26"/>
  <c r="Y13" i="26"/>
  <c r="Z13" i="26"/>
  <c r="O19" i="26"/>
  <c r="P19" i="26"/>
  <c r="Q19" i="26"/>
  <c r="R19" i="26"/>
  <c r="S19" i="26"/>
  <c r="T19" i="26"/>
  <c r="U19" i="26"/>
  <c r="V19" i="26"/>
  <c r="W19" i="26"/>
  <c r="X19" i="26"/>
  <c r="Y19" i="26"/>
  <c r="Z19" i="26"/>
  <c r="O26" i="26"/>
  <c r="Q26" i="26"/>
  <c r="Q33" i="26" s="1"/>
  <c r="T26" i="26"/>
  <c r="T33" i="26" s="1"/>
  <c r="U26" i="26"/>
  <c r="V26" i="26"/>
  <c r="W26" i="26"/>
  <c r="X26" i="26"/>
  <c r="Y26" i="26"/>
  <c r="Z26" i="26"/>
  <c r="C47" i="26"/>
  <c r="C48" i="26" s="1"/>
  <c r="C51" i="26" s="1"/>
  <c r="F38" i="7"/>
  <c r="F37" i="7"/>
  <c r="E31" i="26"/>
  <c r="E26" i="26"/>
  <c r="C37" i="26"/>
  <c r="N26" i="26"/>
  <c r="M26" i="26"/>
  <c r="L26" i="26"/>
  <c r="K26" i="26"/>
  <c r="I26" i="26"/>
  <c r="H26" i="26"/>
  <c r="G26" i="26"/>
  <c r="F26" i="26"/>
  <c r="N19" i="26"/>
  <c r="M19" i="26"/>
  <c r="L19" i="26"/>
  <c r="K19" i="26"/>
  <c r="J19" i="26"/>
  <c r="I19" i="26"/>
  <c r="H19" i="26"/>
  <c r="G19" i="26"/>
  <c r="F19" i="26"/>
  <c r="E19" i="26"/>
  <c r="N13" i="26"/>
  <c r="M13" i="26"/>
  <c r="L13" i="26"/>
  <c r="K13" i="26"/>
  <c r="J13" i="26"/>
  <c r="I13" i="26"/>
  <c r="H13" i="26"/>
  <c r="G13" i="26"/>
  <c r="F13" i="26"/>
  <c r="E13" i="26"/>
  <c r="N7" i="26"/>
  <c r="M7" i="26"/>
  <c r="L7" i="26"/>
  <c r="K7" i="26"/>
  <c r="J7" i="26"/>
  <c r="I7" i="26"/>
  <c r="H7" i="26"/>
  <c r="G7" i="26"/>
  <c r="F7" i="26"/>
  <c r="E7" i="26"/>
  <c r="F22" i="5"/>
  <c r="G22" i="5"/>
  <c r="H22" i="5"/>
  <c r="I22" i="5"/>
  <c r="I25" i="5" s="1"/>
  <c r="J22" i="5"/>
  <c r="L22" i="5"/>
  <c r="M22" i="5"/>
  <c r="N22" i="5"/>
  <c r="F23" i="5"/>
  <c r="G23" i="5"/>
  <c r="H23" i="5"/>
  <c r="I23" i="5"/>
  <c r="K23" i="5"/>
  <c r="L23" i="5"/>
  <c r="M23" i="5"/>
  <c r="N23" i="5"/>
  <c r="N25" i="5" s="1"/>
  <c r="F24" i="5"/>
  <c r="G24" i="5"/>
  <c r="G25" i="5" s="1"/>
  <c r="H24" i="5"/>
  <c r="I24" i="5"/>
  <c r="J24" i="5"/>
  <c r="K24" i="5"/>
  <c r="L24" i="5"/>
  <c r="M24" i="5"/>
  <c r="N24" i="5"/>
  <c r="F25" i="5"/>
  <c r="E24" i="5"/>
  <c r="E23" i="5"/>
  <c r="N22" i="13"/>
  <c r="F22" i="13"/>
  <c r="G22" i="13"/>
  <c r="H22" i="13"/>
  <c r="I22" i="13"/>
  <c r="J22" i="13"/>
  <c r="K22" i="13"/>
  <c r="L22" i="13"/>
  <c r="M22" i="13"/>
  <c r="N26" i="21"/>
  <c r="D25" i="21"/>
  <c r="N26" i="20"/>
  <c r="M26" i="20"/>
  <c r="L26" i="20"/>
  <c r="K26" i="20"/>
  <c r="D25" i="20"/>
  <c r="D25" i="19"/>
  <c r="H26" i="19"/>
  <c r="I26" i="19"/>
  <c r="J26" i="19"/>
  <c r="K26" i="19"/>
  <c r="L26" i="19"/>
  <c r="M26" i="19"/>
  <c r="N26" i="19"/>
  <c r="K42" i="11" l="1"/>
  <c r="H25" i="5"/>
  <c r="G43" i="7"/>
  <c r="F43" i="7" s="1"/>
  <c r="C33" i="6" s="1"/>
  <c r="F41" i="7" s="1"/>
  <c r="F41" i="26"/>
  <c r="X30" i="26" s="1"/>
  <c r="T18" i="26"/>
  <c r="Q30" i="26"/>
  <c r="M25" i="5"/>
  <c r="L25" i="5"/>
  <c r="N18" i="26"/>
  <c r="C52" i="26"/>
  <c r="F18" i="26" l="1"/>
  <c r="K18" i="26"/>
  <c r="E21" i="6"/>
  <c r="T30" i="26"/>
  <c r="R30" i="26"/>
  <c r="R23" i="26"/>
  <c r="Z23" i="26"/>
  <c r="AH23" i="26"/>
  <c r="S23" i="26"/>
  <c r="AA23" i="26"/>
  <c r="T23" i="26"/>
  <c r="AB23" i="26"/>
  <c r="U23" i="26"/>
  <c r="AC23" i="26"/>
  <c r="V23" i="26"/>
  <c r="AD23" i="26"/>
  <c r="W23" i="26"/>
  <c r="AE23" i="26"/>
  <c r="X23" i="26"/>
  <c r="AF23" i="26"/>
  <c r="Q23" i="26"/>
  <c r="Y23" i="26"/>
  <c r="AG23" i="26"/>
  <c r="G18" i="26"/>
  <c r="J30" i="26"/>
  <c r="I18" i="26"/>
  <c r="O18" i="26"/>
  <c r="C53" i="26"/>
  <c r="X11" i="26" s="1"/>
  <c r="R18" i="26"/>
  <c r="M18" i="26"/>
  <c r="W30" i="26"/>
  <c r="H18" i="26"/>
  <c r="O30" i="26"/>
  <c r="G30" i="26"/>
  <c r="H30" i="26"/>
  <c r="Q18" i="26"/>
  <c r="P30" i="26"/>
  <c r="N30" i="26"/>
  <c r="V18" i="26"/>
  <c r="AF18" i="26"/>
  <c r="AC30" i="26"/>
  <c r="AG18" i="26"/>
  <c r="AD30" i="26"/>
  <c r="E18" i="26"/>
  <c r="AH18" i="26"/>
  <c r="AE30" i="26"/>
  <c r="AA18" i="26"/>
  <c r="AF30" i="26"/>
  <c r="AB18" i="26"/>
  <c r="AG30" i="26"/>
  <c r="AD18" i="26"/>
  <c r="AA30" i="26"/>
  <c r="AE18" i="26"/>
  <c r="AB30" i="26"/>
  <c r="AC18" i="26"/>
  <c r="AH30" i="26"/>
  <c r="I30" i="26"/>
  <c r="W18" i="26"/>
  <c r="P18" i="26"/>
  <c r="J18" i="26"/>
  <c r="S30" i="26"/>
  <c r="M30" i="26"/>
  <c r="X18" i="26"/>
  <c r="Y30" i="26"/>
  <c r="U18" i="26"/>
  <c r="L30" i="26"/>
  <c r="K30" i="26"/>
  <c r="V30" i="26"/>
  <c r="Z18" i="26"/>
  <c r="U30" i="26"/>
  <c r="L18" i="26"/>
  <c r="E30" i="26"/>
  <c r="F30" i="26"/>
  <c r="Z30" i="26"/>
  <c r="Y18" i="26"/>
  <c r="S18" i="26"/>
  <c r="V11" i="26"/>
  <c r="F11" i="26" l="1"/>
  <c r="I11" i="26"/>
  <c r="H11" i="26"/>
  <c r="Z11" i="26"/>
  <c r="S11" i="26"/>
  <c r="G11" i="26"/>
  <c r="Y11" i="26"/>
  <c r="U11" i="26"/>
  <c r="T11" i="26"/>
  <c r="J11" i="26"/>
  <c r="Q11" i="26"/>
  <c r="E11" i="26"/>
  <c r="P11" i="26"/>
  <c r="M11" i="26"/>
  <c r="O11" i="26"/>
  <c r="N11" i="26"/>
  <c r="R11" i="26"/>
  <c r="L11" i="26"/>
  <c r="K11" i="26"/>
  <c r="W11" i="26"/>
  <c r="AA11" i="26"/>
  <c r="AB11" i="26"/>
  <c r="AD11" i="26"/>
  <c r="AC11" i="26"/>
  <c r="AG11" i="26"/>
  <c r="AE11" i="26"/>
  <c r="AF11" i="26"/>
  <c r="AH11" i="26"/>
  <c r="C37" i="5" l="1"/>
  <c r="E7" i="3"/>
  <c r="F22" i="3"/>
  <c r="G22" i="3"/>
  <c r="H22" i="3"/>
  <c r="I22" i="3"/>
  <c r="J22" i="3"/>
  <c r="K22" i="3"/>
  <c r="L22" i="3"/>
  <c r="M22" i="3"/>
  <c r="N22" i="3"/>
  <c r="E22" i="3"/>
  <c r="E22" i="4"/>
  <c r="C33" i="3"/>
  <c r="F31" i="13"/>
  <c r="C38" i="13"/>
  <c r="C33" i="4"/>
  <c r="C40" i="25"/>
  <c r="C42" i="25" s="1"/>
  <c r="C43" i="25" s="1"/>
  <c r="C46" i="25" s="1"/>
  <c r="C40" i="2"/>
  <c r="C42" i="2" s="1"/>
  <c r="C43" i="2" s="1"/>
  <c r="C46" i="2" s="1"/>
  <c r="F33" i="25"/>
  <c r="F34" i="25" s="1"/>
  <c r="F31" i="4"/>
  <c r="J3" i="10"/>
  <c r="E23" i="11"/>
  <c r="F15" i="21"/>
  <c r="E15" i="21"/>
  <c r="G18" i="20"/>
  <c r="F18" i="20"/>
  <c r="E18" i="20"/>
  <c r="F15" i="20"/>
  <c r="E15" i="20"/>
  <c r="K11" i="20"/>
  <c r="L11" i="20"/>
  <c r="M11" i="20"/>
  <c r="K6" i="21"/>
  <c r="L6" i="21"/>
  <c r="M6" i="21"/>
  <c r="J6" i="21"/>
  <c r="I6" i="21"/>
  <c r="H6" i="21"/>
  <c r="G6" i="21"/>
  <c r="H7" i="20"/>
  <c r="I7" i="20"/>
  <c r="J7" i="20"/>
  <c r="E22" i="13"/>
  <c r="F22" i="4"/>
  <c r="G22" i="4"/>
  <c r="H22" i="4"/>
  <c r="I22" i="4"/>
  <c r="K22" i="4"/>
  <c r="L22" i="4"/>
  <c r="M22" i="4"/>
  <c r="N22" i="4"/>
  <c r="E22" i="2"/>
  <c r="F10" i="4"/>
  <c r="G10" i="4"/>
  <c r="H10" i="4"/>
  <c r="I10" i="4"/>
  <c r="J10" i="4"/>
  <c r="K10" i="4"/>
  <c r="L10" i="4"/>
  <c r="M10" i="4"/>
  <c r="N10" i="4"/>
  <c r="E10" i="4"/>
  <c r="F33" i="2"/>
  <c r="F10" i="13"/>
  <c r="G10" i="13"/>
  <c r="H10" i="13"/>
  <c r="I10" i="13"/>
  <c r="J10" i="13"/>
  <c r="K10" i="13"/>
  <c r="L10" i="13"/>
  <c r="M10" i="13"/>
  <c r="N10" i="13"/>
  <c r="E10" i="13"/>
  <c r="D53" i="7"/>
  <c r="E53" i="7" s="1"/>
  <c r="C30" i="13"/>
  <c r="C30" i="6"/>
  <c r="B5" i="7"/>
  <c r="E8" i="11" s="1"/>
  <c r="F31" i="6"/>
  <c r="E26" i="2"/>
  <c r="N22" i="25"/>
  <c r="F22" i="25"/>
  <c r="G22" i="25"/>
  <c r="H22" i="25"/>
  <c r="I22" i="25"/>
  <c r="K22" i="25"/>
  <c r="L22" i="25"/>
  <c r="M22" i="25"/>
  <c r="E22" i="25"/>
  <c r="F22" i="2"/>
  <c r="G22" i="2"/>
  <c r="H22" i="2"/>
  <c r="I22" i="2"/>
  <c r="K22" i="2"/>
  <c r="L22" i="2"/>
  <c r="M22" i="2"/>
  <c r="N22" i="2"/>
  <c r="E19" i="2"/>
  <c r="B10" i="7"/>
  <c r="D38" i="7"/>
  <c r="E4" i="26" s="1"/>
  <c r="C32" i="25"/>
  <c r="N19" i="25"/>
  <c r="M19" i="25"/>
  <c r="L19" i="25"/>
  <c r="K19" i="25"/>
  <c r="J19" i="25"/>
  <c r="I19" i="25"/>
  <c r="H19" i="25"/>
  <c r="G19" i="25"/>
  <c r="F19" i="25"/>
  <c r="E19" i="25"/>
  <c r="N13" i="25"/>
  <c r="M13" i="25"/>
  <c r="L13" i="25"/>
  <c r="K13" i="25"/>
  <c r="J13" i="25"/>
  <c r="I13" i="25"/>
  <c r="H13" i="25"/>
  <c r="G13" i="25"/>
  <c r="F13" i="25"/>
  <c r="E13" i="25"/>
  <c r="N10" i="25"/>
  <c r="M10" i="25"/>
  <c r="L10" i="25"/>
  <c r="K10" i="25"/>
  <c r="J10" i="25"/>
  <c r="I10" i="25"/>
  <c r="H10" i="25"/>
  <c r="G10" i="25"/>
  <c r="F10" i="25"/>
  <c r="E10" i="25"/>
  <c r="N7" i="25"/>
  <c r="M7" i="25"/>
  <c r="L7" i="25"/>
  <c r="K7" i="25"/>
  <c r="J7" i="25"/>
  <c r="I7" i="25"/>
  <c r="H7" i="25"/>
  <c r="G7" i="25"/>
  <c r="F7" i="25"/>
  <c r="E7" i="25"/>
  <c r="J89" i="18"/>
  <c r="J88" i="18"/>
  <c r="K88" i="18"/>
  <c r="L87" i="18"/>
  <c r="J87" i="18"/>
  <c r="J85" i="18"/>
  <c r="K83" i="18"/>
  <c r="M82" i="18"/>
  <c r="L82" i="18"/>
  <c r="K82" i="18"/>
  <c r="L81" i="18"/>
  <c r="K81" i="18"/>
  <c r="M81" i="18"/>
  <c r="M83" i="18"/>
  <c r="M84" i="18"/>
  <c r="M80" i="18"/>
  <c r="K80" i="18"/>
  <c r="K77" i="18"/>
  <c r="M77" i="18"/>
  <c r="M79" i="18"/>
  <c r="K79" i="18"/>
  <c r="J79" i="18"/>
  <c r="E80" i="7"/>
  <c r="E79" i="7"/>
  <c r="P72" i="23"/>
  <c r="B63" i="7"/>
  <c r="P68" i="23"/>
  <c r="E68" i="23"/>
  <c r="D56" i="7"/>
  <c r="J80" i="18"/>
  <c r="E32" i="7" l="1"/>
  <c r="E5" i="26"/>
  <c r="E6" i="26" s="1"/>
  <c r="F4" i="26"/>
  <c r="C41" i="26"/>
  <c r="C46" i="26"/>
  <c r="E20" i="26" s="1"/>
  <c r="C36" i="25"/>
  <c r="F26" i="5"/>
  <c r="N26" i="5"/>
  <c r="G26" i="5"/>
  <c r="E26" i="5"/>
  <c r="H26" i="5"/>
  <c r="L26" i="5"/>
  <c r="I26" i="5"/>
  <c r="M26" i="5"/>
  <c r="J26" i="5"/>
  <c r="K26" i="5"/>
  <c r="C41" i="25"/>
  <c r="E20" i="25" s="1"/>
  <c r="E5" i="25"/>
  <c r="E6" i="25" s="1"/>
  <c r="E12" i="25" s="1"/>
  <c r="L32" i="7"/>
  <c r="M32" i="7"/>
  <c r="K32" i="7"/>
  <c r="F32" i="7"/>
  <c r="H32" i="7"/>
  <c r="G32" i="7"/>
  <c r="F35" i="25"/>
  <c r="F36" i="25" s="1"/>
  <c r="H25" i="25" s="1"/>
  <c r="C47" i="25"/>
  <c r="C48" i="25" s="1"/>
  <c r="F5" i="25" l="1"/>
  <c r="F6" i="25" s="1"/>
  <c r="F8" i="25" s="1"/>
  <c r="E8" i="25"/>
  <c r="N25" i="25"/>
  <c r="E14" i="25"/>
  <c r="F5" i="26"/>
  <c r="F6" i="26" s="1"/>
  <c r="G4" i="26"/>
  <c r="E12" i="26"/>
  <c r="E8" i="26"/>
  <c r="E14" i="26"/>
  <c r="J25" i="25"/>
  <c r="L25" i="25"/>
  <c r="N18" i="25"/>
  <c r="J18" i="25"/>
  <c r="G25" i="25"/>
  <c r="K25" i="25"/>
  <c r="L18" i="25"/>
  <c r="H18" i="25"/>
  <c r="I25" i="25"/>
  <c r="E25" i="25"/>
  <c r="M25" i="25"/>
  <c r="F25" i="25"/>
  <c r="E18" i="25"/>
  <c r="M18" i="25"/>
  <c r="F18" i="25"/>
  <c r="K18" i="25"/>
  <c r="G18" i="25"/>
  <c r="I18" i="25"/>
  <c r="I11" i="25"/>
  <c r="G11" i="25"/>
  <c r="F11" i="25"/>
  <c r="M11" i="25"/>
  <c r="L11" i="25"/>
  <c r="H11" i="25"/>
  <c r="J11" i="25"/>
  <c r="N11" i="25"/>
  <c r="E11" i="25"/>
  <c r="K11" i="25"/>
  <c r="G5" i="25" l="1"/>
  <c r="G6" i="25" s="1"/>
  <c r="G8" i="25" s="1"/>
  <c r="E15" i="25"/>
  <c r="D14" i="21" s="1"/>
  <c r="F14" i="25"/>
  <c r="G5" i="26"/>
  <c r="G6" i="26" s="1"/>
  <c r="H4" i="26"/>
  <c r="E15" i="26"/>
  <c r="H38" i="26" s="1"/>
  <c r="F14" i="26"/>
  <c r="F8" i="26"/>
  <c r="G14" i="25"/>
  <c r="F12" i="25"/>
  <c r="H5" i="25"/>
  <c r="H6" i="25" s="1"/>
  <c r="F15" i="25" l="1"/>
  <c r="E14" i="20" s="1"/>
  <c r="D14" i="19"/>
  <c r="E17" i="25"/>
  <c r="D5" i="21" s="1"/>
  <c r="D14" i="20"/>
  <c r="H33" i="25"/>
  <c r="F12" i="26"/>
  <c r="F15" i="26" s="1"/>
  <c r="F31" i="26" s="1"/>
  <c r="G14" i="26"/>
  <c r="G8" i="26"/>
  <c r="G12" i="26" s="1"/>
  <c r="G15" i="26" s="1"/>
  <c r="G17" i="26" s="1"/>
  <c r="H5" i="26"/>
  <c r="H6" i="26" s="1"/>
  <c r="I4" i="26"/>
  <c r="E17" i="26"/>
  <c r="E33" i="26" s="1"/>
  <c r="F17" i="25"/>
  <c r="F21" i="25" s="1"/>
  <c r="F23" i="25" s="1"/>
  <c r="F24" i="25" s="1"/>
  <c r="F27" i="25" s="1"/>
  <c r="F29" i="25" s="1"/>
  <c r="E14" i="21"/>
  <c r="E14" i="19"/>
  <c r="I5" i="25"/>
  <c r="I6" i="25" s="1"/>
  <c r="H14" i="25"/>
  <c r="H8" i="25"/>
  <c r="G12" i="25"/>
  <c r="G15" i="25" s="1"/>
  <c r="E7" i="2"/>
  <c r="E7" i="4"/>
  <c r="C41" i="2"/>
  <c r="E20" i="2" s="1"/>
  <c r="C34" i="4"/>
  <c r="N71" i="23"/>
  <c r="E5" i="4"/>
  <c r="E21" i="25" l="1"/>
  <c r="E23" i="25" s="1"/>
  <c r="E24" i="25" s="1"/>
  <c r="E27" i="25" s="1"/>
  <c r="E29" i="25" s="1"/>
  <c r="D5" i="19"/>
  <c r="D5" i="20"/>
  <c r="F17" i="26"/>
  <c r="F25" i="26" s="1"/>
  <c r="F27" i="26" s="1"/>
  <c r="F28" i="26" s="1"/>
  <c r="F32" i="26" s="1"/>
  <c r="F34" i="26" s="1"/>
  <c r="E25" i="26"/>
  <c r="E27" i="26" s="1"/>
  <c r="E28" i="26" s="1"/>
  <c r="E32" i="26" s="1"/>
  <c r="E34" i="26" s="1"/>
  <c r="J4" i="26"/>
  <c r="I5" i="26"/>
  <c r="I6" i="26" s="1"/>
  <c r="H8" i="26"/>
  <c r="H12" i="26" s="1"/>
  <c r="H14" i="26"/>
  <c r="G25" i="26"/>
  <c r="G27" i="26" s="1"/>
  <c r="G28" i="26" s="1"/>
  <c r="G32" i="26" s="1"/>
  <c r="G34" i="26" s="1"/>
  <c r="G31" i="26"/>
  <c r="G33" i="26" s="1"/>
  <c r="G17" i="25"/>
  <c r="G21" i="25" s="1"/>
  <c r="G23" i="25" s="1"/>
  <c r="G24" i="25" s="1"/>
  <c r="G27" i="25" s="1"/>
  <c r="G29" i="25" s="1"/>
  <c r="F14" i="21"/>
  <c r="F14" i="20"/>
  <c r="F14" i="19"/>
  <c r="E5" i="20"/>
  <c r="E5" i="21"/>
  <c r="E5" i="19"/>
  <c r="I14" i="25"/>
  <c r="I8" i="25"/>
  <c r="H12" i="25"/>
  <c r="H15" i="25" s="1"/>
  <c r="E6" i="4"/>
  <c r="F33" i="26" l="1"/>
  <c r="H15" i="26"/>
  <c r="H17" i="26" s="1"/>
  <c r="H25" i="26" s="1"/>
  <c r="H27" i="26" s="1"/>
  <c r="H28" i="26" s="1"/>
  <c r="H32" i="26" s="1"/>
  <c r="H34" i="26" s="1"/>
  <c r="J5" i="26"/>
  <c r="J6" i="26" s="1"/>
  <c r="K4" i="26"/>
  <c r="I14" i="26"/>
  <c r="I8" i="26"/>
  <c r="I12" i="26" s="1"/>
  <c r="H17" i="25"/>
  <c r="H21" i="25" s="1"/>
  <c r="H23" i="25" s="1"/>
  <c r="H24" i="25" s="1"/>
  <c r="H27" i="25" s="1"/>
  <c r="H29" i="25" s="1"/>
  <c r="G14" i="20"/>
  <c r="G14" i="19"/>
  <c r="G14" i="21"/>
  <c r="F5" i="21"/>
  <c r="F5" i="19"/>
  <c r="F5" i="20"/>
  <c r="I12" i="25"/>
  <c r="I15" i="25" s="1"/>
  <c r="H31" i="26" l="1"/>
  <c r="I15" i="26"/>
  <c r="I17" i="26" s="1"/>
  <c r="I25" i="26" s="1"/>
  <c r="I27" i="26" s="1"/>
  <c r="I28" i="26" s="1"/>
  <c r="I32" i="26" s="1"/>
  <c r="I34" i="26" s="1"/>
  <c r="I31" i="26"/>
  <c r="L4" i="26"/>
  <c r="K5" i="26"/>
  <c r="K6" i="26" s="1"/>
  <c r="J8" i="26"/>
  <c r="J12" i="26" s="1"/>
  <c r="J14" i="26"/>
  <c r="H33" i="26"/>
  <c r="I17" i="25"/>
  <c r="I21" i="25" s="1"/>
  <c r="I23" i="25" s="1"/>
  <c r="I24" i="25" s="1"/>
  <c r="I27" i="25" s="1"/>
  <c r="I29" i="25" s="1"/>
  <c r="H14" i="20"/>
  <c r="H14" i="21"/>
  <c r="G5" i="19"/>
  <c r="G5" i="21"/>
  <c r="G5" i="20"/>
  <c r="K14" i="26" l="1"/>
  <c r="K8" i="26"/>
  <c r="K12" i="26" s="1"/>
  <c r="K15" i="26" s="1"/>
  <c r="K17" i="26" s="1"/>
  <c r="M4" i="26"/>
  <c r="L5" i="26"/>
  <c r="L6" i="26" s="1"/>
  <c r="J15" i="26"/>
  <c r="J17" i="26" s="1"/>
  <c r="I33" i="26"/>
  <c r="H5" i="21"/>
  <c r="H5" i="20"/>
  <c r="J31" i="26" l="1"/>
  <c r="K31" i="26" s="1"/>
  <c r="N4" i="26"/>
  <c r="M5" i="26"/>
  <c r="M6" i="26" s="1"/>
  <c r="J25" i="26"/>
  <c r="J27" i="26" s="1"/>
  <c r="J28" i="26" s="1"/>
  <c r="J32" i="26" s="1"/>
  <c r="J34" i="26" s="1"/>
  <c r="K33" i="26"/>
  <c r="K25" i="26"/>
  <c r="K27" i="26" s="1"/>
  <c r="K28" i="26" s="1"/>
  <c r="K32" i="26" s="1"/>
  <c r="K34" i="26" s="1"/>
  <c r="L8" i="26"/>
  <c r="L12" i="26" s="1"/>
  <c r="L14" i="26"/>
  <c r="L15" i="26" l="1"/>
  <c r="L17" i="26" s="1"/>
  <c r="L25" i="26" s="1"/>
  <c r="L27" i="26" s="1"/>
  <c r="L28" i="26" s="1"/>
  <c r="L32" i="26" s="1"/>
  <c r="L34" i="26" s="1"/>
  <c r="M8" i="26"/>
  <c r="M12" i="26" s="1"/>
  <c r="M14" i="26"/>
  <c r="O4" i="26"/>
  <c r="N5" i="26"/>
  <c r="N6" i="26" s="1"/>
  <c r="L31" i="26"/>
  <c r="L33" i="26" l="1"/>
  <c r="O5" i="26"/>
  <c r="O6" i="26" s="1"/>
  <c r="P4" i="26"/>
  <c r="N8" i="26"/>
  <c r="N12" i="26" s="1"/>
  <c r="N14" i="26"/>
  <c r="M15" i="26"/>
  <c r="M17" i="26" s="1"/>
  <c r="M25" i="26" s="1"/>
  <c r="M27" i="26" s="1"/>
  <c r="M28" i="26" s="1"/>
  <c r="M32" i="26" s="1"/>
  <c r="M34" i="26" s="1"/>
  <c r="N15" i="26" l="1"/>
  <c r="N17" i="26" s="1"/>
  <c r="P5" i="26"/>
  <c r="P6" i="26" s="1"/>
  <c r="Q4" i="26"/>
  <c r="O8" i="26"/>
  <c r="O12" i="26" s="1"/>
  <c r="O14" i="26"/>
  <c r="M31" i="26"/>
  <c r="Q5" i="26" l="1"/>
  <c r="Q6" i="26" s="1"/>
  <c r="R4" i="26"/>
  <c r="P14" i="26"/>
  <c r="P8" i="26"/>
  <c r="P12" i="26" s="1"/>
  <c r="P15" i="26" s="1"/>
  <c r="P17" i="26" s="1"/>
  <c r="M33" i="26"/>
  <c r="N31" i="26"/>
  <c r="O15" i="26"/>
  <c r="O17" i="26" s="1"/>
  <c r="N25" i="26"/>
  <c r="N27" i="26" s="1"/>
  <c r="N28" i="26" s="1"/>
  <c r="N32" i="26" s="1"/>
  <c r="N34" i="26" s="1"/>
  <c r="C38" i="26"/>
  <c r="C43" i="26" s="1"/>
  <c r="O25" i="26" l="1"/>
  <c r="O27" i="26" s="1"/>
  <c r="O28" i="26" s="1"/>
  <c r="O32" i="26" s="1"/>
  <c r="O34" i="26" s="1"/>
  <c r="O31" i="26"/>
  <c r="P31" i="26" s="1"/>
  <c r="N33" i="26"/>
  <c r="R5" i="26"/>
  <c r="R6" i="26" s="1"/>
  <c r="S4" i="26"/>
  <c r="P25" i="26"/>
  <c r="P27" i="26" s="1"/>
  <c r="P28" i="26" s="1"/>
  <c r="P32" i="26" s="1"/>
  <c r="P34" i="26" s="1"/>
  <c r="Q14" i="26"/>
  <c r="Q8" i="26"/>
  <c r="Q12" i="26" s="1"/>
  <c r="Q15" i="26" l="1"/>
  <c r="Q17" i="26" s="1"/>
  <c r="Q25" i="26" s="1"/>
  <c r="Q27" i="26" s="1"/>
  <c r="Q28" i="26" s="1"/>
  <c r="Q32" i="26" s="1"/>
  <c r="Q34" i="26" s="1"/>
  <c r="T4" i="26"/>
  <c r="S5" i="26"/>
  <c r="S6" i="26" s="1"/>
  <c r="O33" i="26"/>
  <c r="R14" i="26"/>
  <c r="R8" i="26"/>
  <c r="R12" i="26" s="1"/>
  <c r="R15" i="26" l="1"/>
  <c r="R17" i="26" s="1"/>
  <c r="R25" i="26" s="1"/>
  <c r="R27" i="26" s="1"/>
  <c r="R28" i="26" s="1"/>
  <c r="R32" i="26" s="1"/>
  <c r="R34" i="26" s="1"/>
  <c r="Q31" i="26"/>
  <c r="R31" i="26"/>
  <c r="S14" i="26"/>
  <c r="S8" i="26"/>
  <c r="S12" i="26" s="1"/>
  <c r="U4" i="26"/>
  <c r="T5" i="26"/>
  <c r="T6" i="26" s="1"/>
  <c r="S15" i="26" l="1"/>
  <c r="S17" i="26" s="1"/>
  <c r="T8" i="26"/>
  <c r="T14" i="26"/>
  <c r="U5" i="26"/>
  <c r="U6" i="26" s="1"/>
  <c r="V4" i="26"/>
  <c r="S25" i="26"/>
  <c r="S27" i="26" s="1"/>
  <c r="S28" i="26" s="1"/>
  <c r="S32" i="26" s="1"/>
  <c r="S34" i="26" s="1"/>
  <c r="S31" i="26"/>
  <c r="U14" i="26" l="1"/>
  <c r="U8" i="26"/>
  <c r="W4" i="26"/>
  <c r="V5" i="26"/>
  <c r="V6" i="26" s="1"/>
  <c r="T12" i="26"/>
  <c r="T15" i="26" s="1"/>
  <c r="T31" i="26" s="1"/>
  <c r="T17" i="26" l="1"/>
  <c r="T25" i="26" s="1"/>
  <c r="T27" i="26" s="1"/>
  <c r="T28" i="26" s="1"/>
  <c r="T32" i="26" s="1"/>
  <c r="T34" i="26" s="1"/>
  <c r="W5" i="26"/>
  <c r="W6" i="26" s="1"/>
  <c r="X4" i="26"/>
  <c r="U12" i="26"/>
  <c r="U15" i="26" s="1"/>
  <c r="U31" i="26" s="1"/>
  <c r="V8" i="26"/>
  <c r="V14" i="26"/>
  <c r="U17" i="26" l="1"/>
  <c r="V12" i="26"/>
  <c r="V15" i="26" s="1"/>
  <c r="V31" i="26" s="1"/>
  <c r="Y4" i="26"/>
  <c r="X5" i="26"/>
  <c r="X6" i="26" s="1"/>
  <c r="U33" i="26"/>
  <c r="U25" i="26"/>
  <c r="U27" i="26" s="1"/>
  <c r="U28" i="26" s="1"/>
  <c r="U32" i="26" s="1"/>
  <c r="U34" i="26" s="1"/>
  <c r="W14" i="26"/>
  <c r="W8" i="26"/>
  <c r="V17" i="26" l="1"/>
  <c r="X8" i="26"/>
  <c r="X14" i="26"/>
  <c r="Z4" i="26"/>
  <c r="Y5" i="26"/>
  <c r="Y6" i="26" s="1"/>
  <c r="V25" i="26"/>
  <c r="V27" i="26" s="1"/>
  <c r="V28" i="26" s="1"/>
  <c r="V32" i="26" s="1"/>
  <c r="V34" i="26" s="1"/>
  <c r="V33" i="26"/>
  <c r="W12" i="26"/>
  <c r="W15" i="26" s="1"/>
  <c r="W31" i="26" s="1"/>
  <c r="Z5" i="26" l="1"/>
  <c r="Z6" i="26" s="1"/>
  <c r="AA4" i="26"/>
  <c r="W17" i="26"/>
  <c r="W33" i="26"/>
  <c r="W25" i="26"/>
  <c r="W27" i="26" s="1"/>
  <c r="W28" i="26" s="1"/>
  <c r="W32" i="26" s="1"/>
  <c r="W34" i="26" s="1"/>
  <c r="Z8" i="26"/>
  <c r="Z14" i="26"/>
  <c r="Y14" i="26"/>
  <c r="Y8" i="26"/>
  <c r="X12" i="26"/>
  <c r="X15" i="26" s="1"/>
  <c r="X31" i="26" s="1"/>
  <c r="AB4" i="26" l="1"/>
  <c r="AA5" i="26"/>
  <c r="AA6" i="26"/>
  <c r="X17" i="26"/>
  <c r="X33" i="26"/>
  <c r="X25" i="26"/>
  <c r="X27" i="26" s="1"/>
  <c r="X28" i="26" s="1"/>
  <c r="X32" i="26" s="1"/>
  <c r="X34" i="26" s="1"/>
  <c r="Y12" i="26"/>
  <c r="Y15" i="26" s="1"/>
  <c r="Y31" i="26" s="1"/>
  <c r="Z12" i="26"/>
  <c r="Z15" i="26" s="1"/>
  <c r="Z17" i="26" s="1"/>
  <c r="AA14" i="26" l="1"/>
  <c r="AA8" i="26"/>
  <c r="AA12" i="26" s="1"/>
  <c r="AA15" i="26" s="1"/>
  <c r="AA17" i="26" s="1"/>
  <c r="AA25" i="26" s="1"/>
  <c r="AA27" i="26" s="1"/>
  <c r="AA28" i="26" s="1"/>
  <c r="AA32" i="26" s="1"/>
  <c r="AA34" i="26" s="1"/>
  <c r="AB5" i="26"/>
  <c r="AB6" i="26"/>
  <c r="AC4" i="26"/>
  <c r="Y17" i="26"/>
  <c r="Y25" i="26" s="1"/>
  <c r="Y27" i="26" s="1"/>
  <c r="Y28" i="26" s="1"/>
  <c r="Y32" i="26" s="1"/>
  <c r="Y34" i="26" s="1"/>
  <c r="Z25" i="26"/>
  <c r="Z27" i="26" s="1"/>
  <c r="Z28" i="26" s="1"/>
  <c r="Z32" i="26" s="1"/>
  <c r="Z34" i="26" s="1"/>
  <c r="Z31" i="26"/>
  <c r="Y33" i="26" l="1"/>
  <c r="AC5" i="26"/>
  <c r="AC6" i="26" s="1"/>
  <c r="AD4" i="26"/>
  <c r="AB14" i="26"/>
  <c r="AB8" i="26"/>
  <c r="Z33" i="26"/>
  <c r="AA31" i="26"/>
  <c r="AD5" i="26" l="1"/>
  <c r="AD6" i="26" s="1"/>
  <c r="AE4" i="26"/>
  <c r="AC8" i="26"/>
  <c r="AC12" i="26" s="1"/>
  <c r="AC14" i="26"/>
  <c r="AB12" i="26"/>
  <c r="AB15" i="26" s="1"/>
  <c r="AB17" i="26" s="1"/>
  <c r="AB25" i="26" s="1"/>
  <c r="AB27" i="26" s="1"/>
  <c r="AB28" i="26" s="1"/>
  <c r="AB32" i="26" s="1"/>
  <c r="AB34" i="26" s="1"/>
  <c r="AA33" i="26"/>
  <c r="AB31" i="26" l="1"/>
  <c r="AC15" i="26"/>
  <c r="AC17" i="26" s="1"/>
  <c r="AC25" i="26" s="1"/>
  <c r="AC27" i="26" s="1"/>
  <c r="AC28" i="26" s="1"/>
  <c r="AC32" i="26" s="1"/>
  <c r="AC34" i="26" s="1"/>
  <c r="AE5" i="26"/>
  <c r="AE6" i="26"/>
  <c r="AF4" i="26"/>
  <c r="AD8" i="26"/>
  <c r="AD14" i="26"/>
  <c r="AC31" i="26"/>
  <c r="AB33" i="26"/>
  <c r="AE14" i="26" l="1"/>
  <c r="AE8" i="26"/>
  <c r="AD12" i="26"/>
  <c r="AD15" i="26" s="1"/>
  <c r="AD31" i="26" s="1"/>
  <c r="AF5" i="26"/>
  <c r="AF6" i="26" s="1"/>
  <c r="AG4" i="26"/>
  <c r="AC33" i="26"/>
  <c r="AF8" i="26" l="1"/>
  <c r="AF14" i="26"/>
  <c r="AD17" i="26"/>
  <c r="AD25" i="26" s="1"/>
  <c r="AD27" i="26" s="1"/>
  <c r="AD28" i="26" s="1"/>
  <c r="AD32" i="26" s="1"/>
  <c r="AD34" i="26" s="1"/>
  <c r="AH4" i="26"/>
  <c r="AG5" i="26"/>
  <c r="AG6" i="26" s="1"/>
  <c r="AE12" i="26"/>
  <c r="AE15" i="26" s="1"/>
  <c r="AE31" i="26" s="1"/>
  <c r="AE17" i="26" l="1"/>
  <c r="AE25" i="26" s="1"/>
  <c r="AE27" i="26" s="1"/>
  <c r="AE28" i="26" s="1"/>
  <c r="AE32" i="26" s="1"/>
  <c r="AE34" i="26" s="1"/>
  <c r="AG8" i="26"/>
  <c r="AG14" i="26"/>
  <c r="AH5" i="26"/>
  <c r="AH6" i="26" s="1"/>
  <c r="AD33" i="26"/>
  <c r="AF12" i="26"/>
  <c r="AF15" i="26" s="1"/>
  <c r="AF31" i="26" s="1"/>
  <c r="AF17" i="26" l="1"/>
  <c r="AF25" i="26" s="1"/>
  <c r="AF27" i="26" s="1"/>
  <c r="AF28" i="26" s="1"/>
  <c r="AF32" i="26" s="1"/>
  <c r="AF34" i="26" s="1"/>
  <c r="AE33" i="26"/>
  <c r="AH8" i="26"/>
  <c r="AH14" i="26"/>
  <c r="AG12" i="26"/>
  <c r="AG15" i="26" s="1"/>
  <c r="AG31" i="26" s="1"/>
  <c r="AG17" i="26"/>
  <c r="AG25" i="26" s="1"/>
  <c r="AG27" i="26" s="1"/>
  <c r="AG28" i="26" s="1"/>
  <c r="AG32" i="26" s="1"/>
  <c r="AG34" i="26" s="1"/>
  <c r="AF33" i="26"/>
  <c r="AH12" i="26" l="1"/>
  <c r="AH15" i="26" s="1"/>
  <c r="AH17" i="26" s="1"/>
  <c r="AH25" i="26" s="1"/>
  <c r="AH27" i="26" s="1"/>
  <c r="AH28" i="26" s="1"/>
  <c r="AH32" i="26" s="1"/>
  <c r="AH34" i="26" s="1"/>
  <c r="AG33" i="26"/>
  <c r="AH31" i="26" l="1"/>
  <c r="AH33" i="26" s="1"/>
  <c r="S6" i="18" l="1"/>
  <c r="S26" i="26" s="1"/>
  <c r="S33" i="26" s="1"/>
  <c r="O67" i="18"/>
  <c r="O68" i="18" s="1"/>
  <c r="N67" i="18"/>
  <c r="N68" i="18" s="1"/>
  <c r="M67" i="18"/>
  <c r="M68" i="18" s="1"/>
  <c r="L67" i="18"/>
  <c r="L68" i="18" s="1"/>
  <c r="K67" i="18"/>
  <c r="K68" i="18" s="1"/>
  <c r="J67" i="18"/>
  <c r="J68" i="18" s="1"/>
  <c r="I67" i="18"/>
  <c r="I68" i="18" s="1"/>
  <c r="H67" i="18"/>
  <c r="H68" i="18" s="1"/>
  <c r="G67" i="18"/>
  <c r="G68" i="18" s="1"/>
  <c r="F67" i="18"/>
  <c r="F68" i="18" s="1"/>
  <c r="E67" i="18"/>
  <c r="E68" i="18" s="1"/>
  <c r="D67" i="18"/>
  <c r="D68" i="18" s="1"/>
  <c r="O65" i="18"/>
  <c r="O66" i="18" s="1"/>
  <c r="N65" i="18"/>
  <c r="N66" i="18" s="1"/>
  <c r="M65" i="18"/>
  <c r="M66" i="18" s="1"/>
  <c r="L65" i="18"/>
  <c r="L66" i="18" s="1"/>
  <c r="K65" i="18"/>
  <c r="K66" i="18" s="1"/>
  <c r="J65" i="18"/>
  <c r="J66" i="18" s="1"/>
  <c r="I65" i="18"/>
  <c r="I66" i="18" s="1"/>
  <c r="H65" i="18"/>
  <c r="H66" i="18" s="1"/>
  <c r="G65" i="18"/>
  <c r="G66" i="18" s="1"/>
  <c r="F65" i="18"/>
  <c r="F66" i="18" s="1"/>
  <c r="E65" i="18"/>
  <c r="E66" i="18" s="1"/>
  <c r="D65" i="18"/>
  <c r="D66" i="18" s="1"/>
  <c r="O63" i="18"/>
  <c r="O64" i="18" s="1"/>
  <c r="N63" i="18"/>
  <c r="N64" i="18" s="1"/>
  <c r="M63" i="18"/>
  <c r="M64" i="18" s="1"/>
  <c r="L63" i="18"/>
  <c r="L64" i="18" s="1"/>
  <c r="K63" i="18"/>
  <c r="K64" i="18" s="1"/>
  <c r="J63" i="18"/>
  <c r="J64" i="18" s="1"/>
  <c r="I63" i="18"/>
  <c r="I64" i="18" s="1"/>
  <c r="H63" i="18"/>
  <c r="H64" i="18" s="1"/>
  <c r="G63" i="18"/>
  <c r="G64" i="18" s="1"/>
  <c r="F63" i="18"/>
  <c r="F64" i="18" s="1"/>
  <c r="E63" i="18"/>
  <c r="E64" i="18" s="1"/>
  <c r="D63" i="18"/>
  <c r="D64" i="18" s="1"/>
  <c r="J62" i="18"/>
  <c r="D62" i="18"/>
  <c r="O61" i="18"/>
  <c r="O62" i="18" s="1"/>
  <c r="N61" i="18"/>
  <c r="N62" i="18" s="1"/>
  <c r="M61" i="18"/>
  <c r="M62" i="18" s="1"/>
  <c r="L61" i="18"/>
  <c r="L62" i="18" s="1"/>
  <c r="K61" i="18"/>
  <c r="K62" i="18" s="1"/>
  <c r="J61" i="18"/>
  <c r="I61" i="18"/>
  <c r="I62" i="18" s="1"/>
  <c r="H61" i="18"/>
  <c r="H62" i="18" s="1"/>
  <c r="G61" i="18"/>
  <c r="G62" i="18" s="1"/>
  <c r="F61" i="18"/>
  <c r="F62" i="18" s="1"/>
  <c r="E61" i="18"/>
  <c r="E62" i="18" s="1"/>
  <c r="D61" i="18"/>
  <c r="O59" i="18"/>
  <c r="O60" i="18" s="1"/>
  <c r="N59" i="18"/>
  <c r="N60" i="18" s="1"/>
  <c r="M59" i="18"/>
  <c r="M60" i="18" s="1"/>
  <c r="L59" i="18"/>
  <c r="L60" i="18" s="1"/>
  <c r="K59" i="18"/>
  <c r="K60" i="18" s="1"/>
  <c r="J59" i="18"/>
  <c r="J60" i="18" s="1"/>
  <c r="I59" i="18"/>
  <c r="I60" i="18" s="1"/>
  <c r="H59" i="18"/>
  <c r="H60" i="18" s="1"/>
  <c r="G59" i="18"/>
  <c r="G60" i="18" s="1"/>
  <c r="F59" i="18"/>
  <c r="F60" i="18" s="1"/>
  <c r="D59" i="18"/>
  <c r="D60" i="18" s="1"/>
  <c r="O57" i="18"/>
  <c r="O58" i="18" s="1"/>
  <c r="N57" i="18"/>
  <c r="N58" i="18" s="1"/>
  <c r="M57" i="18"/>
  <c r="M58" i="18" s="1"/>
  <c r="L57" i="18"/>
  <c r="L58" i="18" s="1"/>
  <c r="K57" i="18"/>
  <c r="K58" i="18" s="1"/>
  <c r="J57" i="18"/>
  <c r="J58" i="18" s="1"/>
  <c r="I57" i="18"/>
  <c r="I58" i="18" s="1"/>
  <c r="H57" i="18"/>
  <c r="H58" i="18" s="1"/>
  <c r="G57" i="18"/>
  <c r="G58" i="18" s="1"/>
  <c r="F57" i="18"/>
  <c r="F58" i="18" s="1"/>
  <c r="E57" i="18"/>
  <c r="E58" i="18" s="1"/>
  <c r="D57" i="18"/>
  <c r="D58" i="18" s="1"/>
  <c r="O55" i="18"/>
  <c r="O56" i="18" s="1"/>
  <c r="N55" i="18"/>
  <c r="N56" i="18" s="1"/>
  <c r="M55" i="18"/>
  <c r="M56" i="18" s="1"/>
  <c r="L55" i="18"/>
  <c r="L56" i="18" s="1"/>
  <c r="K55" i="18"/>
  <c r="K56" i="18" s="1"/>
  <c r="I55" i="18"/>
  <c r="I56" i="18" s="1"/>
  <c r="H55" i="18"/>
  <c r="H56" i="18" s="1"/>
  <c r="G55" i="18"/>
  <c r="G56" i="18" s="1"/>
  <c r="F55" i="18"/>
  <c r="F56" i="18" s="1"/>
  <c r="E55" i="18"/>
  <c r="E56" i="18" s="1"/>
  <c r="D55" i="18"/>
  <c r="D56" i="18" s="1"/>
  <c r="O53" i="18"/>
  <c r="O54" i="18" s="1"/>
  <c r="N53" i="18"/>
  <c r="N54" i="18" s="1"/>
  <c r="M53" i="18"/>
  <c r="M54" i="18" s="1"/>
  <c r="L53" i="18"/>
  <c r="L54" i="18" s="1"/>
  <c r="K53" i="18"/>
  <c r="K54" i="18" s="1"/>
  <c r="J53" i="18"/>
  <c r="J54" i="18" s="1"/>
  <c r="I53" i="18"/>
  <c r="I54" i="18" s="1"/>
  <c r="H53" i="18"/>
  <c r="H54" i="18" s="1"/>
  <c r="G53" i="18"/>
  <c r="G54" i="18" s="1"/>
  <c r="F53" i="18"/>
  <c r="F54" i="18" s="1"/>
  <c r="E53" i="18"/>
  <c r="E54" i="18" s="1"/>
  <c r="D53" i="18"/>
  <c r="D54" i="18" s="1"/>
  <c r="O51" i="18"/>
  <c r="O52" i="18" s="1"/>
  <c r="N51" i="18"/>
  <c r="N52" i="18" s="1"/>
  <c r="M51" i="18"/>
  <c r="M52" i="18" s="1"/>
  <c r="L51" i="18"/>
  <c r="L52" i="18" s="1"/>
  <c r="K51" i="18"/>
  <c r="K52" i="18" s="1"/>
  <c r="J51" i="18"/>
  <c r="J52" i="18" s="1"/>
  <c r="I51" i="18"/>
  <c r="I52" i="18" s="1"/>
  <c r="H51" i="18"/>
  <c r="H52" i="18" s="1"/>
  <c r="G51" i="18"/>
  <c r="G52" i="18" s="1"/>
  <c r="F51" i="18"/>
  <c r="F52" i="18" s="1"/>
  <c r="E51" i="18"/>
  <c r="E52" i="18" s="1"/>
  <c r="D51" i="18"/>
  <c r="D52" i="18" s="1"/>
  <c r="I50" i="18"/>
  <c r="O49" i="18"/>
  <c r="O50" i="18" s="1"/>
  <c r="N49" i="18"/>
  <c r="N50" i="18" s="1"/>
  <c r="M49" i="18"/>
  <c r="M50" i="18" s="1"/>
  <c r="L49" i="18"/>
  <c r="L50" i="18" s="1"/>
  <c r="K49" i="18"/>
  <c r="K50" i="18" s="1"/>
  <c r="I49" i="18"/>
  <c r="H49" i="18"/>
  <c r="H50" i="18" s="1"/>
  <c r="G49" i="18"/>
  <c r="G50" i="18" s="1"/>
  <c r="F49" i="18"/>
  <c r="F50" i="18" s="1"/>
  <c r="E49" i="18"/>
  <c r="E50" i="18" s="1"/>
  <c r="D49" i="18"/>
  <c r="D50" i="18" s="1"/>
  <c r="O44" i="18"/>
  <c r="O20" i="18" s="1"/>
  <c r="N44" i="18"/>
  <c r="N20" i="18" s="1"/>
  <c r="M44" i="18"/>
  <c r="M20" i="18" s="1"/>
  <c r="L44" i="18"/>
  <c r="L20" i="18" s="1"/>
  <c r="M85" i="18" s="1"/>
  <c r="K44" i="18"/>
  <c r="K20" i="18" s="1"/>
  <c r="H44" i="18"/>
  <c r="H20" i="18" s="1"/>
  <c r="E44" i="18"/>
  <c r="E20" i="18" s="1"/>
  <c r="D44" i="18"/>
  <c r="D20" i="18" s="1"/>
  <c r="I43" i="18"/>
  <c r="F43" i="18"/>
  <c r="I42" i="18"/>
  <c r="F42" i="18"/>
  <c r="J41" i="18"/>
  <c r="J44" i="18" s="1"/>
  <c r="J20" i="18" s="1"/>
  <c r="G41" i="18"/>
  <c r="G44" i="18" s="1"/>
  <c r="G20" i="18" s="1"/>
  <c r="R36" i="18"/>
  <c r="P36" i="18"/>
  <c r="R35" i="18"/>
  <c r="P35" i="18"/>
  <c r="R34" i="18"/>
  <c r="P34" i="18"/>
  <c r="R33" i="18"/>
  <c r="P33" i="18"/>
  <c r="R32" i="18"/>
  <c r="P32" i="18"/>
  <c r="R31" i="18"/>
  <c r="P31" i="18"/>
  <c r="R30" i="18"/>
  <c r="P30" i="18"/>
  <c r="R29" i="18"/>
  <c r="E29" i="18"/>
  <c r="E59" i="18" s="1"/>
  <c r="E60" i="18" s="1"/>
  <c r="R28" i="18"/>
  <c r="P28" i="18"/>
  <c r="R27" i="18"/>
  <c r="P27" i="18"/>
  <c r="R26" i="18"/>
  <c r="P26" i="18"/>
  <c r="R22" i="18"/>
  <c r="L22" i="18"/>
  <c r="M87" i="18" s="1"/>
  <c r="E22" i="18"/>
  <c r="K87" i="18" s="1"/>
  <c r="R21" i="18"/>
  <c r="P21" i="18"/>
  <c r="R20" i="18"/>
  <c r="R19" i="18"/>
  <c r="R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R16" i="18"/>
  <c r="P16" i="18"/>
  <c r="R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R14" i="18"/>
  <c r="P14" i="18"/>
  <c r="R13" i="18"/>
  <c r="O13" i="18"/>
  <c r="N13" i="18"/>
  <c r="M13" i="18"/>
  <c r="L13" i="18"/>
  <c r="J13" i="18"/>
  <c r="I13" i="18"/>
  <c r="H13" i="18"/>
  <c r="G13" i="18"/>
  <c r="F13" i="18"/>
  <c r="D13" i="18"/>
  <c r="R12" i="18"/>
  <c r="K12" i="18"/>
  <c r="K22" i="5" s="1"/>
  <c r="K25" i="5" s="1"/>
  <c r="J32" i="7" s="1"/>
  <c r="E12" i="18"/>
  <c r="E22" i="5" s="1"/>
  <c r="E25" i="5" s="1"/>
  <c r="D32" i="7" s="1"/>
  <c r="R11" i="18"/>
  <c r="P11" i="18"/>
  <c r="H81" i="18" s="1"/>
  <c r="J81" i="18" s="1"/>
  <c r="R10" i="18"/>
  <c r="J10" i="18"/>
  <c r="R9" i="18"/>
  <c r="J9" i="18"/>
  <c r="R8" i="18"/>
  <c r="P8" i="18"/>
  <c r="R7" i="18"/>
  <c r="P7" i="18"/>
  <c r="R6" i="18"/>
  <c r="R26" i="26" s="1"/>
  <c r="R33" i="26" s="1"/>
  <c r="J6" i="18"/>
  <c r="D11" i="24"/>
  <c r="D12" i="24"/>
  <c r="D15" i="24" s="1"/>
  <c r="B4" i="24" s="1"/>
  <c r="D13" i="24"/>
  <c r="D14" i="24"/>
  <c r="D17" i="24"/>
  <c r="D18" i="24"/>
  <c r="D19" i="24"/>
  <c r="D20" i="24"/>
  <c r="B5" i="24" s="1"/>
  <c r="D29" i="24"/>
  <c r="D30" i="24"/>
  <c r="D34" i="24"/>
  <c r="D44" i="24"/>
  <c r="D49" i="24"/>
  <c r="D62" i="24"/>
  <c r="D69" i="24"/>
  <c r="D75" i="24"/>
  <c r="D79" i="24"/>
  <c r="J6" i="23"/>
  <c r="S5" i="23" s="1"/>
  <c r="S7" i="23" s="1"/>
  <c r="P6" i="23"/>
  <c r="S15" i="23" s="1"/>
  <c r="R6" i="23"/>
  <c r="S6" i="23"/>
  <c r="P7" i="23"/>
  <c r="R7" i="23"/>
  <c r="P8" i="23"/>
  <c r="R8" i="23"/>
  <c r="J9" i="23"/>
  <c r="P9" i="23"/>
  <c r="R9" i="23"/>
  <c r="J10" i="23"/>
  <c r="J54" i="23" s="1"/>
  <c r="J55" i="23" s="1"/>
  <c r="P10" i="23"/>
  <c r="R10" i="23"/>
  <c r="P11" i="23"/>
  <c r="R11" i="23"/>
  <c r="E12" i="23"/>
  <c r="E13" i="23" s="1"/>
  <c r="K12" i="23"/>
  <c r="K13" i="23" s="1"/>
  <c r="K18" i="23" s="1"/>
  <c r="K72" i="23" s="1"/>
  <c r="P12" i="23"/>
  <c r="R12" i="23"/>
  <c r="D13" i="23"/>
  <c r="F13" i="23"/>
  <c r="G13" i="23"/>
  <c r="H13" i="23"/>
  <c r="I13" i="23"/>
  <c r="J13" i="23"/>
  <c r="J18" i="23" s="1"/>
  <c r="J72" i="23" s="1"/>
  <c r="L13" i="23"/>
  <c r="M13" i="23"/>
  <c r="N13" i="23"/>
  <c r="O13" i="23"/>
  <c r="O18" i="23" s="1"/>
  <c r="O72" i="23" s="1"/>
  <c r="R13" i="23"/>
  <c r="P14" i="23"/>
  <c r="R14" i="23"/>
  <c r="D15" i="23"/>
  <c r="D18" i="23" s="1"/>
  <c r="E15" i="23"/>
  <c r="F15" i="23"/>
  <c r="F18" i="23" s="1"/>
  <c r="F72" i="23" s="1"/>
  <c r="G15" i="23"/>
  <c r="G18" i="23" s="1"/>
  <c r="G72" i="23" s="1"/>
  <c r="H15" i="23"/>
  <c r="H18" i="23" s="1"/>
  <c r="H72" i="23" s="1"/>
  <c r="I15" i="23"/>
  <c r="J15" i="23"/>
  <c r="K15" i="23"/>
  <c r="L15" i="23"/>
  <c r="L18" i="23" s="1"/>
  <c r="L72" i="23" s="1"/>
  <c r="M15" i="23"/>
  <c r="M18" i="23" s="1"/>
  <c r="M72" i="23" s="1"/>
  <c r="N15" i="23"/>
  <c r="N18" i="23" s="1"/>
  <c r="N72" i="23" s="1"/>
  <c r="O15" i="23"/>
  <c r="P15" i="23"/>
  <c r="R15" i="23"/>
  <c r="P16" i="23"/>
  <c r="R16" i="23"/>
  <c r="D17" i="23"/>
  <c r="P17" i="23" s="1"/>
  <c r="E17" i="23"/>
  <c r="F17" i="23"/>
  <c r="G17" i="23"/>
  <c r="H17" i="23"/>
  <c r="I17" i="23"/>
  <c r="J17" i="23"/>
  <c r="K17" i="23"/>
  <c r="L17" i="23"/>
  <c r="M17" i="23"/>
  <c r="N17" i="23"/>
  <c r="O17" i="23"/>
  <c r="R17" i="23"/>
  <c r="I18" i="23"/>
  <c r="I72" i="23" s="1"/>
  <c r="R18" i="23"/>
  <c r="K19" i="23"/>
  <c r="R19" i="23"/>
  <c r="P20" i="23"/>
  <c r="R20" i="23"/>
  <c r="E21" i="23"/>
  <c r="L21" i="23"/>
  <c r="P21" i="23"/>
  <c r="R21" i="23"/>
  <c r="P25" i="23"/>
  <c r="R25" i="23"/>
  <c r="P26" i="23"/>
  <c r="R26" i="23"/>
  <c r="P27" i="23"/>
  <c r="R27" i="23"/>
  <c r="E28" i="23"/>
  <c r="P28" i="23"/>
  <c r="R28" i="23"/>
  <c r="P29" i="23"/>
  <c r="R29" i="23"/>
  <c r="P30" i="23"/>
  <c r="R30" i="23"/>
  <c r="P31" i="23"/>
  <c r="R31" i="23"/>
  <c r="P32" i="23"/>
  <c r="R32" i="23"/>
  <c r="P33" i="23"/>
  <c r="R33" i="23"/>
  <c r="P34" i="23"/>
  <c r="R34" i="23"/>
  <c r="P35" i="23"/>
  <c r="R35" i="23"/>
  <c r="G40" i="23"/>
  <c r="J40" i="23"/>
  <c r="F41" i="23"/>
  <c r="F43" i="23" s="1"/>
  <c r="F19" i="23" s="1"/>
  <c r="I41" i="23"/>
  <c r="F42" i="23"/>
  <c r="I42" i="23"/>
  <c r="D43" i="23"/>
  <c r="D19" i="23" s="1"/>
  <c r="E43" i="23"/>
  <c r="E19" i="23" s="1"/>
  <c r="G43" i="23"/>
  <c r="G19" i="23" s="1"/>
  <c r="H43" i="23"/>
  <c r="H19" i="23" s="1"/>
  <c r="I43" i="23"/>
  <c r="I19" i="23" s="1"/>
  <c r="J43" i="23"/>
  <c r="J19" i="23" s="1"/>
  <c r="K43" i="23"/>
  <c r="L43" i="23"/>
  <c r="L19" i="23" s="1"/>
  <c r="M43" i="23"/>
  <c r="M19" i="23" s="1"/>
  <c r="N43" i="23"/>
  <c r="N19" i="23" s="1"/>
  <c r="O43" i="23"/>
  <c r="O19" i="23" s="1"/>
  <c r="D48" i="23"/>
  <c r="D49" i="23" s="1"/>
  <c r="E48" i="23"/>
  <c r="E49" i="23" s="1"/>
  <c r="F48" i="23"/>
  <c r="F49" i="23" s="1"/>
  <c r="G48" i="23"/>
  <c r="H48" i="23"/>
  <c r="I48" i="23"/>
  <c r="J48" i="23"/>
  <c r="K48" i="23"/>
  <c r="K49" i="23" s="1"/>
  <c r="K68" i="23" s="1"/>
  <c r="K71" i="23" s="1"/>
  <c r="L48" i="23"/>
  <c r="L49" i="23" s="1"/>
  <c r="M48" i="23"/>
  <c r="M49" i="23" s="1"/>
  <c r="N48" i="23"/>
  <c r="N49" i="23" s="1"/>
  <c r="O48" i="23"/>
  <c r="G49" i="23"/>
  <c r="G68" i="23" s="1"/>
  <c r="G71" i="23" s="1"/>
  <c r="H49" i="23"/>
  <c r="H68" i="23" s="1"/>
  <c r="H71" i="23" s="1"/>
  <c r="I49" i="23"/>
  <c r="I68" i="23" s="1"/>
  <c r="I71" i="23" s="1"/>
  <c r="J49" i="23"/>
  <c r="J68" i="23" s="1"/>
  <c r="J71" i="23" s="1"/>
  <c r="O49" i="23"/>
  <c r="O68" i="23" s="1"/>
  <c r="O71" i="23" s="1"/>
  <c r="D50" i="23"/>
  <c r="D51" i="23" s="1"/>
  <c r="E50" i="23"/>
  <c r="E51" i="23" s="1"/>
  <c r="F50" i="23"/>
  <c r="F51" i="23" s="1"/>
  <c r="G50" i="23"/>
  <c r="H50" i="23"/>
  <c r="I50" i="23"/>
  <c r="J50" i="23"/>
  <c r="K50" i="23"/>
  <c r="K51" i="23" s="1"/>
  <c r="L50" i="23"/>
  <c r="L51" i="23" s="1"/>
  <c r="M50" i="23"/>
  <c r="M51" i="23" s="1"/>
  <c r="N50" i="23"/>
  <c r="N51" i="23" s="1"/>
  <c r="O50" i="23"/>
  <c r="G51" i="23"/>
  <c r="H51" i="23"/>
  <c r="I51" i="23"/>
  <c r="J51" i="23"/>
  <c r="O51" i="23"/>
  <c r="D52" i="23"/>
  <c r="D53" i="23" s="1"/>
  <c r="E52" i="23"/>
  <c r="E53" i="23" s="1"/>
  <c r="F52" i="23"/>
  <c r="F53" i="23" s="1"/>
  <c r="G52" i="23"/>
  <c r="H52" i="23"/>
  <c r="I52" i="23"/>
  <c r="J52" i="23"/>
  <c r="K52" i="23"/>
  <c r="K53" i="23" s="1"/>
  <c r="L52" i="23"/>
  <c r="L53" i="23" s="1"/>
  <c r="M52" i="23"/>
  <c r="M53" i="23" s="1"/>
  <c r="N52" i="23"/>
  <c r="N53" i="23" s="1"/>
  <c r="O52" i="23"/>
  <c r="G53" i="23"/>
  <c r="H53" i="23"/>
  <c r="I53" i="23"/>
  <c r="J53" i="23"/>
  <c r="O53" i="23"/>
  <c r="D54" i="23"/>
  <c r="D55" i="23" s="1"/>
  <c r="E54" i="23"/>
  <c r="E55" i="23" s="1"/>
  <c r="F54" i="23"/>
  <c r="F55" i="23" s="1"/>
  <c r="G54" i="23"/>
  <c r="H54" i="23"/>
  <c r="I54" i="23"/>
  <c r="K54" i="23"/>
  <c r="K55" i="23" s="1"/>
  <c r="L54" i="23"/>
  <c r="L55" i="23" s="1"/>
  <c r="M54" i="23"/>
  <c r="M55" i="23" s="1"/>
  <c r="N54" i="23"/>
  <c r="N55" i="23" s="1"/>
  <c r="O54" i="23"/>
  <c r="G55" i="23"/>
  <c r="H55" i="23"/>
  <c r="I55" i="23"/>
  <c r="O55" i="23"/>
  <c r="D56" i="23"/>
  <c r="D57" i="23" s="1"/>
  <c r="E56" i="23"/>
  <c r="E57" i="23" s="1"/>
  <c r="F56" i="23"/>
  <c r="F57" i="23" s="1"/>
  <c r="G56" i="23"/>
  <c r="H56" i="23"/>
  <c r="I56" i="23"/>
  <c r="J56" i="23"/>
  <c r="K56" i="23"/>
  <c r="K57" i="23" s="1"/>
  <c r="L56" i="23"/>
  <c r="L57" i="23" s="1"/>
  <c r="M56" i="23"/>
  <c r="M57" i="23" s="1"/>
  <c r="N56" i="23"/>
  <c r="N57" i="23" s="1"/>
  <c r="O56" i="23"/>
  <c r="G57" i="23"/>
  <c r="H57" i="23"/>
  <c r="I57" i="23"/>
  <c r="J57" i="23"/>
  <c r="O57" i="23"/>
  <c r="D58" i="23"/>
  <c r="D59" i="23" s="1"/>
  <c r="E58" i="23"/>
  <c r="E59" i="23" s="1"/>
  <c r="F58" i="23"/>
  <c r="F59" i="23" s="1"/>
  <c r="G58" i="23"/>
  <c r="H58" i="23"/>
  <c r="I58" i="23"/>
  <c r="J58" i="23"/>
  <c r="K58" i="23"/>
  <c r="K59" i="23" s="1"/>
  <c r="L58" i="23"/>
  <c r="L59" i="23" s="1"/>
  <c r="M58" i="23"/>
  <c r="M59" i="23" s="1"/>
  <c r="N58" i="23"/>
  <c r="N59" i="23" s="1"/>
  <c r="O58" i="23"/>
  <c r="G59" i="23"/>
  <c r="H59" i="23"/>
  <c r="I59" i="23"/>
  <c r="J59" i="23"/>
  <c r="O59" i="23"/>
  <c r="D60" i="23"/>
  <c r="D61" i="23" s="1"/>
  <c r="E60" i="23"/>
  <c r="E61" i="23" s="1"/>
  <c r="F60" i="23"/>
  <c r="F61" i="23" s="1"/>
  <c r="G60" i="23"/>
  <c r="H60" i="23"/>
  <c r="I60" i="23"/>
  <c r="J60" i="23"/>
  <c r="K60" i="23"/>
  <c r="K61" i="23" s="1"/>
  <c r="L60" i="23"/>
  <c r="L61" i="23" s="1"/>
  <c r="M60" i="23"/>
  <c r="M61" i="23" s="1"/>
  <c r="N60" i="23"/>
  <c r="N61" i="23" s="1"/>
  <c r="O60" i="23"/>
  <c r="G61" i="23"/>
  <c r="H61" i="23"/>
  <c r="I61" i="23"/>
  <c r="J61" i="23"/>
  <c r="O61" i="23"/>
  <c r="D62" i="23"/>
  <c r="D63" i="23" s="1"/>
  <c r="E62" i="23"/>
  <c r="E63" i="23" s="1"/>
  <c r="F62" i="23"/>
  <c r="F63" i="23" s="1"/>
  <c r="G62" i="23"/>
  <c r="H62" i="23"/>
  <c r="I62" i="23"/>
  <c r="J62" i="23"/>
  <c r="K62" i="23"/>
  <c r="K63" i="23" s="1"/>
  <c r="L62" i="23"/>
  <c r="L63" i="23" s="1"/>
  <c r="M62" i="23"/>
  <c r="M63" i="23" s="1"/>
  <c r="N62" i="23"/>
  <c r="N63" i="23" s="1"/>
  <c r="O62" i="23"/>
  <c r="G63" i="23"/>
  <c r="H63" i="23"/>
  <c r="I63" i="23"/>
  <c r="J63" i="23"/>
  <c r="O63" i="23"/>
  <c r="D64" i="23"/>
  <c r="D65" i="23" s="1"/>
  <c r="E64" i="23"/>
  <c r="E65" i="23" s="1"/>
  <c r="F64" i="23"/>
  <c r="F65" i="23" s="1"/>
  <c r="G64" i="23"/>
  <c r="H64" i="23"/>
  <c r="I64" i="23"/>
  <c r="J64" i="23"/>
  <c r="K64" i="23"/>
  <c r="K65" i="23" s="1"/>
  <c r="L64" i="23"/>
  <c r="L65" i="23" s="1"/>
  <c r="M64" i="23"/>
  <c r="M65" i="23" s="1"/>
  <c r="N64" i="23"/>
  <c r="N65" i="23" s="1"/>
  <c r="O64" i="23"/>
  <c r="G65" i="23"/>
  <c r="H65" i="23"/>
  <c r="I65" i="23"/>
  <c r="J65" i="23"/>
  <c r="O65" i="23"/>
  <c r="D66" i="23"/>
  <c r="D67" i="23" s="1"/>
  <c r="E66" i="23"/>
  <c r="E67" i="23" s="1"/>
  <c r="F66" i="23"/>
  <c r="F67" i="23" s="1"/>
  <c r="G66" i="23"/>
  <c r="H66" i="23"/>
  <c r="I66" i="23"/>
  <c r="J66" i="23"/>
  <c r="K66" i="23"/>
  <c r="K67" i="23" s="1"/>
  <c r="L66" i="23"/>
  <c r="L67" i="23" s="1"/>
  <c r="M66" i="23"/>
  <c r="M67" i="23" s="1"/>
  <c r="N66" i="23"/>
  <c r="N67" i="23" s="1"/>
  <c r="O66" i="23"/>
  <c r="G67" i="23"/>
  <c r="H67" i="23"/>
  <c r="I67" i="23"/>
  <c r="J67" i="23"/>
  <c r="O67" i="23"/>
  <c r="L80" i="18" l="1"/>
  <c r="K4" i="4"/>
  <c r="J4" i="4"/>
  <c r="N4" i="4"/>
  <c r="M4" i="4"/>
  <c r="L4" i="4"/>
  <c r="J22" i="4"/>
  <c r="J23" i="5"/>
  <c r="J25" i="5" s="1"/>
  <c r="L83" i="18"/>
  <c r="L4" i="25"/>
  <c r="L5" i="25" s="1"/>
  <c r="L6" i="25" s="1"/>
  <c r="K4" i="25"/>
  <c r="K5" i="25" s="1"/>
  <c r="K6" i="25" s="1"/>
  <c r="J4" i="25"/>
  <c r="J5" i="25" s="1"/>
  <c r="J6" i="25" s="1"/>
  <c r="J26" i="26"/>
  <c r="J33" i="26" s="1"/>
  <c r="N4" i="25"/>
  <c r="N5" i="25" s="1"/>
  <c r="N6" i="25" s="1"/>
  <c r="M4" i="25"/>
  <c r="M5" i="25" s="1"/>
  <c r="M6" i="25" s="1"/>
  <c r="J22" i="25"/>
  <c r="J22" i="2"/>
  <c r="F44" i="18"/>
  <c r="F20" i="18" s="1"/>
  <c r="K85" i="18" s="1"/>
  <c r="C35" i="11"/>
  <c r="J19" i="18"/>
  <c r="J73" i="18" s="1"/>
  <c r="L19" i="18"/>
  <c r="L73" i="18" s="1"/>
  <c r="I19" i="18"/>
  <c r="I73" i="18" s="1"/>
  <c r="C37" i="11"/>
  <c r="E13" i="18"/>
  <c r="K84" i="18"/>
  <c r="I44" i="18"/>
  <c r="I20" i="18" s="1"/>
  <c r="M19" i="18"/>
  <c r="M73" i="18" s="1"/>
  <c r="D19" i="18"/>
  <c r="N19" i="18"/>
  <c r="N73" i="18" s="1"/>
  <c r="K13" i="18"/>
  <c r="L84" i="18"/>
  <c r="J49" i="18"/>
  <c r="J50" i="18" s="1"/>
  <c r="L77" i="18"/>
  <c r="P10" i="18"/>
  <c r="F19" i="18"/>
  <c r="F73" i="18" s="1"/>
  <c r="P22" i="18"/>
  <c r="L69" i="18"/>
  <c r="L72" i="18" s="1"/>
  <c r="D73" i="18"/>
  <c r="D69" i="18"/>
  <c r="D72" i="18" s="1"/>
  <c r="O19" i="18"/>
  <c r="O73" i="18" s="1"/>
  <c r="H19" i="18"/>
  <c r="H73" i="18" s="1"/>
  <c r="K69" i="18"/>
  <c r="K72" i="18" s="1"/>
  <c r="G19" i="18"/>
  <c r="G73" i="18" s="1"/>
  <c r="P29" i="18"/>
  <c r="I69" i="18"/>
  <c r="I72" i="18" s="1"/>
  <c r="K19" i="18"/>
  <c r="K73" i="18" s="1"/>
  <c r="P17" i="18"/>
  <c r="F69" i="18"/>
  <c r="F72" i="18" s="1"/>
  <c r="S5" i="18"/>
  <c r="S7" i="18" s="1"/>
  <c r="J55" i="18"/>
  <c r="J56" i="18" s="1"/>
  <c r="P15" i="18"/>
  <c r="O69" i="18"/>
  <c r="O72" i="18" s="1"/>
  <c r="G69" i="18"/>
  <c r="G72" i="18" s="1"/>
  <c r="H69" i="18"/>
  <c r="H72" i="18" s="1"/>
  <c r="M69" i="18"/>
  <c r="M72" i="18" s="1"/>
  <c r="E69" i="18"/>
  <c r="E72" i="18" s="1"/>
  <c r="N69" i="18"/>
  <c r="N72" i="18" s="1"/>
  <c r="P6" i="18"/>
  <c r="P9" i="18"/>
  <c r="P12" i="18"/>
  <c r="B6" i="24"/>
  <c r="P19" i="23"/>
  <c r="N68" i="23"/>
  <c r="F68" i="23"/>
  <c r="F71" i="23" s="1"/>
  <c r="M68" i="23"/>
  <c r="M71" i="23" s="1"/>
  <c r="E71" i="23"/>
  <c r="P18" i="23"/>
  <c r="D72" i="23"/>
  <c r="S14" i="23"/>
  <c r="L68" i="23"/>
  <c r="L71" i="23" s="1"/>
  <c r="D68" i="23"/>
  <c r="E18" i="23"/>
  <c r="E72" i="23" s="1"/>
  <c r="P13" i="23"/>
  <c r="M8" i="25" l="1"/>
  <c r="M14" i="25"/>
  <c r="N8" i="25"/>
  <c r="N14" i="25"/>
  <c r="J8" i="25"/>
  <c r="J14" i="25"/>
  <c r="C36" i="11"/>
  <c r="L85" i="18"/>
  <c r="L14" i="25"/>
  <c r="L8" i="25"/>
  <c r="K14" i="25"/>
  <c r="K8" i="25"/>
  <c r="S15" i="18"/>
  <c r="P26" i="26"/>
  <c r="P33" i="26" s="1"/>
  <c r="I32" i="7"/>
  <c r="J69" i="18"/>
  <c r="J72" i="18" s="1"/>
  <c r="P13" i="18"/>
  <c r="P20" i="18"/>
  <c r="E19" i="18"/>
  <c r="S14" i="18" s="1"/>
  <c r="P73" i="18" s="1"/>
  <c r="P19" i="18"/>
  <c r="E73" i="18"/>
  <c r="D71" i="23"/>
  <c r="N12" i="25" l="1"/>
  <c r="N15" i="25" s="1"/>
  <c r="M14" i="21" s="1"/>
  <c r="L12" i="25"/>
  <c r="L15" i="25" s="1"/>
  <c r="K14" i="21" s="1"/>
  <c r="P69" i="18"/>
  <c r="S10" i="18" s="1"/>
  <c r="S12" i="18" s="1"/>
  <c r="J12" i="25"/>
  <c r="J15" i="25" s="1"/>
  <c r="J17" i="25"/>
  <c r="K12" i="25"/>
  <c r="K15" i="25" s="1"/>
  <c r="M12" i="25"/>
  <c r="M15" i="25" s="1"/>
  <c r="L14" i="21" s="1"/>
  <c r="S10" i="23"/>
  <c r="S12" i="23" s="1"/>
  <c r="P70" i="23"/>
  <c r="P69" i="23"/>
  <c r="S11" i="23" s="1"/>
  <c r="C35" i="4"/>
  <c r="C36" i="4" s="1"/>
  <c r="E24" i="11"/>
  <c r="D42" i="7"/>
  <c r="F80" i="7"/>
  <c r="G80" i="7" s="1"/>
  <c r="E22" i="11"/>
  <c r="C34" i="13"/>
  <c r="L17" i="25" l="1"/>
  <c r="M17" i="25"/>
  <c r="J21" i="25"/>
  <c r="J23" i="25" s="1"/>
  <c r="J24" i="25" s="1"/>
  <c r="J27" i="25" s="1"/>
  <c r="J29" i="25" s="1"/>
  <c r="I5" i="21"/>
  <c r="I5" i="20"/>
  <c r="P70" i="18"/>
  <c r="S11" i="18" s="1"/>
  <c r="M21" i="25"/>
  <c r="M23" i="25" s="1"/>
  <c r="M24" i="25" s="1"/>
  <c r="M27" i="25" s="1"/>
  <c r="M29" i="25" s="1"/>
  <c r="L5" i="21"/>
  <c r="J14" i="20"/>
  <c r="J14" i="21"/>
  <c r="I14" i="20"/>
  <c r="I14" i="21"/>
  <c r="P71" i="18"/>
  <c r="L21" i="25"/>
  <c r="L23" i="25" s="1"/>
  <c r="L24" i="25" s="1"/>
  <c r="L27" i="25" s="1"/>
  <c r="L29" i="25" s="1"/>
  <c r="K5" i="21"/>
  <c r="N17" i="25"/>
  <c r="K17" i="25"/>
  <c r="P71" i="23"/>
  <c r="S13" i="23" s="1"/>
  <c r="E35" i="11"/>
  <c r="E37" i="11"/>
  <c r="E36" i="11"/>
  <c r="J18" i="20"/>
  <c r="I18" i="20"/>
  <c r="H18" i="20"/>
  <c r="J9" i="20"/>
  <c r="I9" i="20"/>
  <c r="H9" i="20"/>
  <c r="G9" i="20"/>
  <c r="G18" i="19"/>
  <c r="F18" i="19"/>
  <c r="E18" i="19"/>
  <c r="F15" i="19"/>
  <c r="E15" i="19"/>
  <c r="F6" i="19"/>
  <c r="E6" i="19"/>
  <c r="J5" i="20" l="1"/>
  <c r="J5" i="21"/>
  <c r="K21" i="25"/>
  <c r="K23" i="25" s="1"/>
  <c r="K24" i="25" s="1"/>
  <c r="K27" i="25" s="1"/>
  <c r="K29" i="25" s="1"/>
  <c r="N21" i="25"/>
  <c r="N23" i="25" s="1"/>
  <c r="N24" i="25" s="1"/>
  <c r="N27" i="25" s="1"/>
  <c r="N29" i="25" s="1"/>
  <c r="C33" i="25"/>
  <c r="C38" i="25" s="1"/>
  <c r="M5" i="21"/>
  <c r="P72" i="18"/>
  <c r="S13" i="18" s="1"/>
  <c r="E38" i="11"/>
  <c r="E5" i="11" s="1"/>
  <c r="C3" i="10" l="1"/>
  <c r="J83" i="18" l="1"/>
  <c r="J82" i="18"/>
  <c r="J78" i="18"/>
  <c r="K78" i="18" s="1"/>
  <c r="J77" i="18"/>
  <c r="J84" i="18"/>
  <c r="L79" i="18"/>
  <c r="M78" i="18"/>
  <c r="N77" i="18" l="1"/>
  <c r="C39" i="13"/>
  <c r="E20" i="13" s="1"/>
  <c r="C40" i="13"/>
  <c r="C41" i="13" s="1"/>
  <c r="C44" i="13" s="1"/>
  <c r="F32" i="13"/>
  <c r="F33" i="13" s="1"/>
  <c r="F34" i="13" s="1"/>
  <c r="E18" i="13" s="1"/>
  <c r="N19" i="13"/>
  <c r="M19" i="13"/>
  <c r="L19" i="13"/>
  <c r="K19" i="13"/>
  <c r="J19" i="13"/>
  <c r="I19" i="13"/>
  <c r="H19" i="13"/>
  <c r="G19" i="13"/>
  <c r="F19" i="13"/>
  <c r="E19" i="13"/>
  <c r="N13" i="13"/>
  <c r="M13" i="13"/>
  <c r="L13" i="13"/>
  <c r="K13" i="13"/>
  <c r="J13" i="13"/>
  <c r="I13" i="13"/>
  <c r="H13" i="13"/>
  <c r="G13" i="13"/>
  <c r="F13" i="13"/>
  <c r="E13" i="13"/>
  <c r="N7" i="13"/>
  <c r="M7" i="13"/>
  <c r="L7" i="13"/>
  <c r="K7" i="13"/>
  <c r="J7" i="13"/>
  <c r="I7" i="13"/>
  <c r="H7" i="13"/>
  <c r="G7" i="13"/>
  <c r="F7" i="13"/>
  <c r="E7" i="13"/>
  <c r="C30" i="4"/>
  <c r="E20" i="12"/>
  <c r="C36" i="12"/>
  <c r="N19" i="12"/>
  <c r="M19" i="12"/>
  <c r="L19" i="12"/>
  <c r="K19" i="12"/>
  <c r="J19" i="12"/>
  <c r="I19" i="12"/>
  <c r="H19" i="12"/>
  <c r="G19" i="12"/>
  <c r="F19" i="12"/>
  <c r="E19" i="12"/>
  <c r="N13" i="12"/>
  <c r="M13" i="12"/>
  <c r="L13" i="12"/>
  <c r="K13" i="12"/>
  <c r="J13" i="12"/>
  <c r="I13" i="12"/>
  <c r="H13" i="12"/>
  <c r="G13" i="12"/>
  <c r="F13" i="12"/>
  <c r="E13" i="12"/>
  <c r="F7" i="12"/>
  <c r="G7" i="12" s="1"/>
  <c r="H7" i="12" s="1"/>
  <c r="I7" i="12" s="1"/>
  <c r="J7" i="12" s="1"/>
  <c r="K7" i="12" s="1"/>
  <c r="L7" i="12" s="1"/>
  <c r="M7" i="12" s="1"/>
  <c r="N7" i="12" s="1"/>
  <c r="B14" i="7"/>
  <c r="B26" i="7"/>
  <c r="B27" i="7" s="1"/>
  <c r="E5" i="13"/>
  <c r="E6" i="13" s="1"/>
  <c r="F26" i="11"/>
  <c r="B75" i="7"/>
  <c r="N14" i="12" s="1"/>
  <c r="F79" i="7"/>
  <c r="E9" i="7"/>
  <c r="F4" i="10" l="1"/>
  <c r="E8" i="13"/>
  <c r="C37" i="12"/>
  <c r="C40" i="12" s="1"/>
  <c r="C41" i="12" s="1"/>
  <c r="H14" i="12"/>
  <c r="K14" i="12"/>
  <c r="L14" i="12"/>
  <c r="I14" i="12"/>
  <c r="E14" i="12"/>
  <c r="M14" i="12"/>
  <c r="G14" i="12"/>
  <c r="J14" i="12"/>
  <c r="F14" i="12"/>
  <c r="E12" i="13"/>
  <c r="E14" i="13"/>
  <c r="I25" i="13"/>
  <c r="L18" i="13"/>
  <c r="I18" i="13"/>
  <c r="K25" i="13"/>
  <c r="H25" i="13"/>
  <c r="K18" i="13"/>
  <c r="N25" i="13"/>
  <c r="F25" i="13"/>
  <c r="M25" i="13"/>
  <c r="E25" i="13"/>
  <c r="G18" i="13"/>
  <c r="N18" i="13"/>
  <c r="G25" i="13"/>
  <c r="J18" i="13"/>
  <c r="F18" i="13"/>
  <c r="J25" i="13"/>
  <c r="M18" i="13"/>
  <c r="H18" i="13"/>
  <c r="L25" i="13"/>
  <c r="C45" i="13"/>
  <c r="C46" i="13" s="1"/>
  <c r="H11" i="13" l="1"/>
  <c r="E11" i="13"/>
  <c r="E15" i="13" s="1"/>
  <c r="E17" i="13" s="1"/>
  <c r="G11" i="13"/>
  <c r="M11" i="13"/>
  <c r="L11" i="13"/>
  <c r="K11" i="13"/>
  <c r="J11" i="13"/>
  <c r="N11" i="13"/>
  <c r="F11" i="13"/>
  <c r="I11" i="13"/>
  <c r="E21" i="13" l="1"/>
  <c r="E23" i="13" l="1"/>
  <c r="E24" i="13" l="1"/>
  <c r="E26" i="13" s="1"/>
  <c r="E28" i="13" s="1"/>
  <c r="E27" i="13"/>
  <c r="H51" i="10" l="1"/>
  <c r="H53" i="10" s="1"/>
  <c r="F34" i="2" l="1"/>
  <c r="E19" i="3"/>
  <c r="F13" i="5"/>
  <c r="G13" i="5"/>
  <c r="H13" i="5"/>
  <c r="I13" i="5"/>
  <c r="J13" i="5"/>
  <c r="K13" i="5"/>
  <c r="L13" i="5"/>
  <c r="M13" i="5"/>
  <c r="N13" i="5"/>
  <c r="E13" i="5"/>
  <c r="F19" i="5"/>
  <c r="G19" i="5"/>
  <c r="H19" i="5"/>
  <c r="I19" i="5"/>
  <c r="J19" i="5"/>
  <c r="K19" i="5"/>
  <c r="L19" i="5"/>
  <c r="M19" i="5"/>
  <c r="N19" i="5"/>
  <c r="E19" i="5"/>
  <c r="C38" i="5"/>
  <c r="E20" i="5" s="1"/>
  <c r="H19" i="3"/>
  <c r="I19" i="3"/>
  <c r="L19" i="3"/>
  <c r="M19" i="3"/>
  <c r="F31" i="3"/>
  <c r="F32" i="3" s="1"/>
  <c r="F13" i="3"/>
  <c r="I13" i="3"/>
  <c r="J13" i="3"/>
  <c r="L13" i="3"/>
  <c r="M13" i="3"/>
  <c r="N13" i="3"/>
  <c r="F19" i="3"/>
  <c r="F19" i="2"/>
  <c r="F19" i="4"/>
  <c r="G19" i="4"/>
  <c r="H19" i="4"/>
  <c r="I19" i="4"/>
  <c r="J19" i="4"/>
  <c r="K19" i="4"/>
  <c r="L19" i="4"/>
  <c r="M19" i="4"/>
  <c r="N19" i="4"/>
  <c r="E19" i="4"/>
  <c r="E13" i="4"/>
  <c r="F13" i="4"/>
  <c r="I13" i="4"/>
  <c r="J13" i="4"/>
  <c r="M13" i="4"/>
  <c r="N13" i="4"/>
  <c r="J5" i="10"/>
  <c r="J7" i="10" s="1"/>
  <c r="F8" i="10"/>
  <c r="C32" i="2"/>
  <c r="F19" i="6"/>
  <c r="G19" i="6"/>
  <c r="H19" i="6"/>
  <c r="I19" i="6"/>
  <c r="J19" i="6"/>
  <c r="K19" i="6"/>
  <c r="L19" i="6"/>
  <c r="M19" i="6"/>
  <c r="N19" i="6"/>
  <c r="E19" i="6"/>
  <c r="F13" i="6"/>
  <c r="G13" i="6"/>
  <c r="H13" i="6"/>
  <c r="I13" i="6"/>
  <c r="J13" i="6"/>
  <c r="K13" i="6"/>
  <c r="L13" i="6"/>
  <c r="M13" i="6"/>
  <c r="N13" i="6"/>
  <c r="E13" i="6"/>
  <c r="B48" i="7"/>
  <c r="I7" i="4"/>
  <c r="F5" i="10" l="1"/>
  <c r="G10" i="6"/>
  <c r="B51" i="7"/>
  <c r="F32" i="4"/>
  <c r="F33" i="4" s="1"/>
  <c r="F34" i="4" s="1"/>
  <c r="E18" i="4" s="1"/>
  <c r="B57" i="7"/>
  <c r="F35" i="2"/>
  <c r="F36" i="2" s="1"/>
  <c r="E18" i="2" s="1"/>
  <c r="H13" i="3"/>
  <c r="K19" i="3"/>
  <c r="G19" i="3"/>
  <c r="E13" i="3"/>
  <c r="K13" i="3"/>
  <c r="G13" i="3"/>
  <c r="N19" i="3"/>
  <c r="J19" i="3"/>
  <c r="I13" i="2"/>
  <c r="I19" i="2"/>
  <c r="E13" i="2"/>
  <c r="K13" i="2"/>
  <c r="G13" i="2"/>
  <c r="K19" i="2"/>
  <c r="G19" i="2"/>
  <c r="M13" i="2"/>
  <c r="M19" i="2"/>
  <c r="L13" i="2"/>
  <c r="H13" i="2"/>
  <c r="L19" i="2"/>
  <c r="H19" i="2"/>
  <c r="N13" i="2"/>
  <c r="J13" i="2"/>
  <c r="F13" i="2"/>
  <c r="N19" i="2"/>
  <c r="J19" i="2"/>
  <c r="L13" i="4"/>
  <c r="H13" i="4"/>
  <c r="K13" i="4"/>
  <c r="G13" i="4"/>
  <c r="M10" i="6"/>
  <c r="H7" i="3"/>
  <c r="L10" i="3"/>
  <c r="J10" i="6"/>
  <c r="H10" i="3"/>
  <c r="I10" i="6"/>
  <c r="L7" i="3"/>
  <c r="N10" i="6"/>
  <c r="F10" i="6"/>
  <c r="K7" i="3"/>
  <c r="K10" i="3"/>
  <c r="N7" i="3"/>
  <c r="J7" i="3"/>
  <c r="F7" i="3"/>
  <c r="N10" i="3"/>
  <c r="J10" i="3"/>
  <c r="F10" i="3"/>
  <c r="L10" i="6"/>
  <c r="H10" i="6"/>
  <c r="G7" i="3"/>
  <c r="G10" i="3"/>
  <c r="M7" i="3"/>
  <c r="I7" i="3"/>
  <c r="M10" i="3"/>
  <c r="I10" i="3"/>
  <c r="E10" i="6"/>
  <c r="K10" i="6"/>
  <c r="B39" i="7"/>
  <c r="L7" i="4"/>
  <c r="H7" i="4"/>
  <c r="G7" i="4"/>
  <c r="K7" i="4"/>
  <c r="N7" i="4"/>
  <c r="J7" i="4"/>
  <c r="F7" i="4"/>
  <c r="M7" i="4"/>
  <c r="E9" i="11"/>
  <c r="C34" i="3" l="1"/>
  <c r="E20" i="3" s="1"/>
  <c r="E20" i="4"/>
  <c r="C4" i="10"/>
  <c r="F25" i="2"/>
  <c r="J25" i="2"/>
  <c r="N25" i="2"/>
  <c r="I18" i="2"/>
  <c r="M18" i="2"/>
  <c r="H25" i="2"/>
  <c r="G18" i="2"/>
  <c r="K18" i="2"/>
  <c r="E25" i="2"/>
  <c r="M25" i="2"/>
  <c r="H18" i="2"/>
  <c r="L18" i="2"/>
  <c r="G25" i="2"/>
  <c r="K25" i="2"/>
  <c r="F18" i="2"/>
  <c r="J18" i="2"/>
  <c r="N18" i="2"/>
  <c r="L25" i="2"/>
  <c r="I25" i="2"/>
  <c r="G30" i="10" l="1"/>
  <c r="J30" i="10"/>
  <c r="M30" i="10"/>
  <c r="I30" i="10"/>
  <c r="H30" i="10"/>
  <c r="L30" i="10"/>
  <c r="F30" i="10"/>
  <c r="K30" i="10"/>
  <c r="N30" i="10"/>
  <c r="C12" i="9"/>
  <c r="D18" i="7"/>
  <c r="F7" i="5"/>
  <c r="C39" i="5" l="1"/>
  <c r="E7" i="11"/>
  <c r="I14" i="5"/>
  <c r="M14" i="5"/>
  <c r="F14" i="5"/>
  <c r="J14" i="5"/>
  <c r="N14" i="5"/>
  <c r="G14" i="5"/>
  <c r="K14" i="5"/>
  <c r="E14" i="5"/>
  <c r="H14" i="5"/>
  <c r="L14" i="5"/>
  <c r="G7" i="5"/>
  <c r="G89" i="7"/>
  <c r="F89" i="7" s="1"/>
  <c r="F90" i="7" s="1"/>
  <c r="F85" i="7"/>
  <c r="G85" i="7" s="1"/>
  <c r="F84" i="7"/>
  <c r="G79" i="7"/>
  <c r="C5" i="10" l="1"/>
  <c r="E10" i="11"/>
  <c r="E14" i="11" s="1"/>
  <c r="H7" i="5"/>
  <c r="G81" i="7"/>
  <c r="G92" i="7" s="1"/>
  <c r="B65" i="7" s="1"/>
  <c r="F86" i="7"/>
  <c r="F93" i="7" s="1"/>
  <c r="G90" i="7"/>
  <c r="B67" i="7" s="1"/>
  <c r="G84" i="7"/>
  <c r="G86" i="7" s="1"/>
  <c r="G93" i="7" s="1"/>
  <c r="B66" i="7" s="1"/>
  <c r="F81" i="7"/>
  <c r="F92" i="7" s="1"/>
  <c r="D23" i="21" l="1"/>
  <c r="G23" i="20"/>
  <c r="F23" i="20"/>
  <c r="E23" i="19"/>
  <c r="J23" i="21"/>
  <c r="E23" i="20"/>
  <c r="F23" i="19"/>
  <c r="K23" i="21"/>
  <c r="D23" i="20"/>
  <c r="G23" i="19"/>
  <c r="L23" i="21"/>
  <c r="H23" i="20"/>
  <c r="G23" i="21"/>
  <c r="I23" i="20"/>
  <c r="I23" i="21"/>
  <c r="H23" i="21"/>
  <c r="D23" i="19"/>
  <c r="M23" i="21"/>
  <c r="F23" i="21"/>
  <c r="E23" i="21"/>
  <c r="J23" i="20"/>
  <c r="K4" i="11"/>
  <c r="E25" i="11"/>
  <c r="I7" i="5"/>
  <c r="B68" i="7"/>
  <c r="G94" i="7"/>
  <c r="F94" i="7"/>
  <c r="F7" i="10"/>
  <c r="C30" i="3"/>
  <c r="F5" i="4"/>
  <c r="F4" i="6"/>
  <c r="G4" i="6" s="1"/>
  <c r="E4" i="6"/>
  <c r="E5" i="6" s="1"/>
  <c r="F5" i="3"/>
  <c r="C36" i="2"/>
  <c r="F6" i="10" l="1"/>
  <c r="S9" i="10" s="1"/>
  <c r="F4" i="12"/>
  <c r="E4" i="12"/>
  <c r="E6" i="12" s="1"/>
  <c r="G7" i="2"/>
  <c r="K7" i="2"/>
  <c r="I7" i="2"/>
  <c r="J7" i="2"/>
  <c r="N7" i="2"/>
  <c r="H7" i="2"/>
  <c r="L7" i="2"/>
  <c r="M7" i="2"/>
  <c r="F7" i="2"/>
  <c r="J7" i="5"/>
  <c r="G5" i="4"/>
  <c r="F5" i="6"/>
  <c r="F6" i="6" s="1"/>
  <c r="E6" i="6"/>
  <c r="G5" i="6"/>
  <c r="E6" i="3"/>
  <c r="E6" i="5" l="1"/>
  <c r="E12" i="5" s="1"/>
  <c r="F5" i="2"/>
  <c r="F5" i="13"/>
  <c r="F6" i="13" s="1"/>
  <c r="E12" i="12"/>
  <c r="E15" i="12" s="1"/>
  <c r="E8" i="12"/>
  <c r="F6" i="12"/>
  <c r="G4" i="12"/>
  <c r="E12" i="4"/>
  <c r="E14" i="4"/>
  <c r="E5" i="2"/>
  <c r="E14" i="3"/>
  <c r="E12" i="3"/>
  <c r="E8" i="3"/>
  <c r="E8" i="6"/>
  <c r="E14" i="6"/>
  <c r="E12" i="6"/>
  <c r="F14" i="6"/>
  <c r="F12" i="6"/>
  <c r="E8" i="4"/>
  <c r="F6" i="4"/>
  <c r="K7" i="5"/>
  <c r="F8" i="6"/>
  <c r="F6" i="5"/>
  <c r="F12" i="5" s="1"/>
  <c r="H5" i="4"/>
  <c r="H4" i="6"/>
  <c r="H5" i="6" s="1"/>
  <c r="G6" i="6"/>
  <c r="G5" i="3"/>
  <c r="G6" i="3" s="1"/>
  <c r="F6" i="3"/>
  <c r="E8" i="5" l="1"/>
  <c r="E15" i="6"/>
  <c r="F6" i="2"/>
  <c r="F14" i="2" s="1"/>
  <c r="E16" i="10"/>
  <c r="E18" i="10" s="1"/>
  <c r="E6" i="2"/>
  <c r="E8" i="2" s="1"/>
  <c r="E28" i="12"/>
  <c r="G5" i="13"/>
  <c r="G6" i="13" s="1"/>
  <c r="F14" i="13"/>
  <c r="F8" i="13"/>
  <c r="F12" i="13" s="1"/>
  <c r="H4" i="12"/>
  <c r="G6" i="12"/>
  <c r="F8" i="12"/>
  <c r="F12" i="12"/>
  <c r="F15" i="12" s="1"/>
  <c r="F15" i="6"/>
  <c r="G14" i="3"/>
  <c r="G12" i="3"/>
  <c r="G8" i="3"/>
  <c r="F14" i="3"/>
  <c r="F12" i="3"/>
  <c r="F8" i="3"/>
  <c r="G8" i="6"/>
  <c r="G14" i="6"/>
  <c r="G12" i="6"/>
  <c r="F14" i="4"/>
  <c r="F12" i="4"/>
  <c r="F16" i="10"/>
  <c r="F18" i="10" s="1"/>
  <c r="G6" i="4"/>
  <c r="L7" i="5"/>
  <c r="F8" i="4"/>
  <c r="H6" i="4"/>
  <c r="F8" i="5"/>
  <c r="E15" i="5"/>
  <c r="D19" i="21" s="1"/>
  <c r="G6" i="5"/>
  <c r="I5" i="4"/>
  <c r="I4" i="6"/>
  <c r="H6" i="6"/>
  <c r="H5" i="3"/>
  <c r="H6" i="3" s="1"/>
  <c r="G5" i="2"/>
  <c r="F8" i="2" l="1"/>
  <c r="F12" i="2" s="1"/>
  <c r="G6" i="2"/>
  <c r="G14" i="2" s="1"/>
  <c r="E17" i="5"/>
  <c r="D19" i="19"/>
  <c r="D19" i="20"/>
  <c r="F15" i="13"/>
  <c r="F17" i="13" s="1"/>
  <c r="E14" i="2"/>
  <c r="E12" i="2"/>
  <c r="F28" i="12"/>
  <c r="H6" i="12"/>
  <c r="I4" i="12"/>
  <c r="G12" i="12"/>
  <c r="G15" i="12" s="1"/>
  <c r="G8" i="12"/>
  <c r="H5" i="13"/>
  <c r="H6" i="13" s="1"/>
  <c r="F21" i="13"/>
  <c r="G8" i="13"/>
  <c r="G12" i="13" s="1"/>
  <c r="G14" i="13"/>
  <c r="G15" i="6"/>
  <c r="H14" i="3"/>
  <c r="H12" i="3"/>
  <c r="H8" i="3"/>
  <c r="G8" i="2"/>
  <c r="G12" i="2" s="1"/>
  <c r="H8" i="6"/>
  <c r="H14" i="6"/>
  <c r="H12" i="6"/>
  <c r="G8" i="5"/>
  <c r="G12" i="5"/>
  <c r="G8" i="4"/>
  <c r="G14" i="4"/>
  <c r="G12" i="4"/>
  <c r="H14" i="4"/>
  <c r="H12" i="4"/>
  <c r="M7" i="5"/>
  <c r="G16" i="10"/>
  <c r="G18" i="10" s="1"/>
  <c r="H8" i="4"/>
  <c r="H6" i="5"/>
  <c r="F15" i="5"/>
  <c r="J5" i="4"/>
  <c r="I5" i="6"/>
  <c r="I6" i="6" s="1"/>
  <c r="J4" i="6"/>
  <c r="J5" i="6" s="1"/>
  <c r="I5" i="3"/>
  <c r="I6" i="3" s="1"/>
  <c r="H5" i="2"/>
  <c r="E39" i="10" l="1"/>
  <c r="H6" i="2"/>
  <c r="H14" i="2" s="1"/>
  <c r="H15" i="6"/>
  <c r="G15" i="5"/>
  <c r="F19" i="19" s="1"/>
  <c r="F17" i="5"/>
  <c r="E19" i="19"/>
  <c r="E19" i="20"/>
  <c r="E19" i="21"/>
  <c r="D10" i="21"/>
  <c r="D10" i="20"/>
  <c r="D10" i="19"/>
  <c r="F23" i="13"/>
  <c r="F24" i="13" s="1"/>
  <c r="F26" i="13" s="1"/>
  <c r="F28" i="13" s="1"/>
  <c r="G28" i="12"/>
  <c r="G15" i="13"/>
  <c r="G17" i="13" s="1"/>
  <c r="H14" i="13"/>
  <c r="H8" i="13"/>
  <c r="H12" i="13" s="1"/>
  <c r="I5" i="13"/>
  <c r="I6" i="13" s="1"/>
  <c r="I6" i="12"/>
  <c r="J4" i="12"/>
  <c r="H12" i="12"/>
  <c r="H15" i="12" s="1"/>
  <c r="H8" i="12"/>
  <c r="F39" i="10"/>
  <c r="I12" i="3"/>
  <c r="I14" i="3"/>
  <c r="I8" i="3"/>
  <c r="H8" i="5"/>
  <c r="H12" i="5"/>
  <c r="I8" i="6"/>
  <c r="I14" i="6"/>
  <c r="I12" i="6"/>
  <c r="N7" i="5"/>
  <c r="H16" i="10"/>
  <c r="H18" i="10" s="1"/>
  <c r="I6" i="4"/>
  <c r="I6" i="5"/>
  <c r="C40" i="5"/>
  <c r="K5" i="4"/>
  <c r="K4" i="6"/>
  <c r="K5" i="6" s="1"/>
  <c r="J6" i="6"/>
  <c r="J5" i="3"/>
  <c r="J6" i="3" s="1"/>
  <c r="I5" i="2"/>
  <c r="F27" i="13" l="1"/>
  <c r="G17" i="5"/>
  <c r="F10" i="21" s="1"/>
  <c r="I6" i="2"/>
  <c r="I14" i="2" s="1"/>
  <c r="H8" i="2"/>
  <c r="H12" i="2" s="1"/>
  <c r="F19" i="21"/>
  <c r="F19" i="20"/>
  <c r="F10" i="19"/>
  <c r="E10" i="20"/>
  <c r="E10" i="19"/>
  <c r="E10" i="21"/>
  <c r="G21" i="13"/>
  <c r="G23" i="13" s="1"/>
  <c r="G24" i="13" s="1"/>
  <c r="G26" i="13" s="1"/>
  <c r="G28" i="13" s="1"/>
  <c r="H15" i="13"/>
  <c r="H17" i="13" s="1"/>
  <c r="H28" i="12"/>
  <c r="I15" i="6"/>
  <c r="J5" i="13"/>
  <c r="J6" i="13" s="1"/>
  <c r="I12" i="12"/>
  <c r="I15" i="12" s="1"/>
  <c r="I8" i="12"/>
  <c r="K4" i="12"/>
  <c r="J6" i="12"/>
  <c r="I8" i="13"/>
  <c r="I12" i="13" s="1"/>
  <c r="I14" i="13"/>
  <c r="G39" i="10"/>
  <c r="J8" i="6"/>
  <c r="J14" i="6"/>
  <c r="J12" i="6"/>
  <c r="I8" i="5"/>
  <c r="I12" i="5"/>
  <c r="J14" i="3"/>
  <c r="J12" i="3"/>
  <c r="J8" i="3"/>
  <c r="I8" i="4"/>
  <c r="I12" i="4"/>
  <c r="I14" i="4"/>
  <c r="J6" i="4"/>
  <c r="I16" i="10"/>
  <c r="I18" i="10" s="1"/>
  <c r="C43" i="5"/>
  <c r="C44" i="5" s="1"/>
  <c r="H15" i="5"/>
  <c r="J6" i="5"/>
  <c r="L5" i="4"/>
  <c r="F33" i="3"/>
  <c r="L4" i="6"/>
  <c r="L5" i="6" s="1"/>
  <c r="K6" i="6"/>
  <c r="K5" i="3"/>
  <c r="K6" i="3" s="1"/>
  <c r="J5" i="2"/>
  <c r="F10" i="20" l="1"/>
  <c r="I8" i="2"/>
  <c r="I12" i="2" s="1"/>
  <c r="H39" i="10"/>
  <c r="G27" i="13"/>
  <c r="J6" i="2"/>
  <c r="J14" i="2" s="1"/>
  <c r="I15" i="5"/>
  <c r="H19" i="21" s="1"/>
  <c r="H17" i="5"/>
  <c r="G19" i="20"/>
  <c r="G19" i="21"/>
  <c r="G19" i="19"/>
  <c r="H21" i="13"/>
  <c r="H23" i="13" s="1"/>
  <c r="H24" i="13" s="1"/>
  <c r="H26" i="13" s="1"/>
  <c r="H28" i="13" s="1"/>
  <c r="I15" i="13"/>
  <c r="I17" i="13" s="1"/>
  <c r="J12" i="12"/>
  <c r="J15" i="12" s="1"/>
  <c r="J8" i="12"/>
  <c r="J14" i="13"/>
  <c r="J8" i="13"/>
  <c r="J12" i="13" s="1"/>
  <c r="K6" i="12"/>
  <c r="L4" i="12"/>
  <c r="K5" i="13"/>
  <c r="K6" i="13" s="1"/>
  <c r="I28" i="12"/>
  <c r="J15" i="6"/>
  <c r="I25" i="3"/>
  <c r="F34" i="3"/>
  <c r="K8" i="6"/>
  <c r="K12" i="6"/>
  <c r="K14" i="6"/>
  <c r="J8" i="5"/>
  <c r="J12" i="5"/>
  <c r="K14" i="3"/>
  <c r="K12" i="3"/>
  <c r="K8" i="3"/>
  <c r="J8" i="4"/>
  <c r="J14" i="4"/>
  <c r="J12" i="4"/>
  <c r="K6" i="4"/>
  <c r="J16" i="10"/>
  <c r="J18" i="10" s="1"/>
  <c r="M5" i="4"/>
  <c r="K6" i="5"/>
  <c r="J25" i="3"/>
  <c r="L6" i="6"/>
  <c r="E25" i="3"/>
  <c r="M4" i="6"/>
  <c r="M5" i="6" s="1"/>
  <c r="K25" i="3"/>
  <c r="F25" i="3"/>
  <c r="L25" i="3"/>
  <c r="G25" i="3"/>
  <c r="M25" i="3"/>
  <c r="H25" i="3"/>
  <c r="N25" i="3"/>
  <c r="L5" i="3"/>
  <c r="L6" i="3" s="1"/>
  <c r="K5" i="2"/>
  <c r="J8" i="2" l="1"/>
  <c r="J12" i="2" s="1"/>
  <c r="J15" i="13"/>
  <c r="J17" i="13" s="1"/>
  <c r="K6" i="2"/>
  <c r="K14" i="2" s="1"/>
  <c r="H27" i="13"/>
  <c r="I17" i="5"/>
  <c r="H10" i="20" s="1"/>
  <c r="H19" i="20"/>
  <c r="G10" i="21"/>
  <c r="G10" i="19"/>
  <c r="G10" i="20"/>
  <c r="J21" i="13"/>
  <c r="J23" i="13" s="1"/>
  <c r="J24" i="13" s="1"/>
  <c r="J26" i="13" s="1"/>
  <c r="J28" i="13" s="1"/>
  <c r="I21" i="13"/>
  <c r="I23" i="13" s="1"/>
  <c r="I24" i="13" s="1"/>
  <c r="I26" i="13" s="1"/>
  <c r="I28" i="13" s="1"/>
  <c r="J28" i="12"/>
  <c r="L5" i="13"/>
  <c r="L6" i="13" s="1"/>
  <c r="K12" i="12"/>
  <c r="K15" i="12" s="1"/>
  <c r="K8" i="12"/>
  <c r="L6" i="12"/>
  <c r="M4" i="12"/>
  <c r="K8" i="13"/>
  <c r="K14" i="13"/>
  <c r="K15" i="6"/>
  <c r="I39" i="10"/>
  <c r="I18" i="3"/>
  <c r="M18" i="3"/>
  <c r="K18" i="3"/>
  <c r="F18" i="3"/>
  <c r="J18" i="3"/>
  <c r="N18" i="3"/>
  <c r="H18" i="3"/>
  <c r="G18" i="3"/>
  <c r="E18" i="3"/>
  <c r="L18" i="3"/>
  <c r="K8" i="5"/>
  <c r="K12" i="5"/>
  <c r="L8" i="6"/>
  <c r="L14" i="6"/>
  <c r="L12" i="6"/>
  <c r="L14" i="3"/>
  <c r="L12" i="3"/>
  <c r="L8" i="3"/>
  <c r="K8" i="2"/>
  <c r="K12" i="2" s="1"/>
  <c r="K8" i="4"/>
  <c r="K14" i="4"/>
  <c r="K12" i="4"/>
  <c r="K16" i="10"/>
  <c r="K18" i="10" s="1"/>
  <c r="N5" i="4"/>
  <c r="L6" i="4"/>
  <c r="J15" i="5"/>
  <c r="L6" i="5"/>
  <c r="N4" i="6"/>
  <c r="N5" i="6" s="1"/>
  <c r="M6" i="6"/>
  <c r="M5" i="3"/>
  <c r="M6" i="3" s="1"/>
  <c r="L5" i="2"/>
  <c r="J27" i="13" l="1"/>
  <c r="H10" i="21"/>
  <c r="L6" i="2"/>
  <c r="L14" i="2" s="1"/>
  <c r="I27" i="13"/>
  <c r="J17" i="5"/>
  <c r="I19" i="20"/>
  <c r="I19" i="21"/>
  <c r="K28" i="12"/>
  <c r="M6" i="12"/>
  <c r="N4" i="12"/>
  <c r="N6" i="12" s="1"/>
  <c r="M5" i="13"/>
  <c r="M6" i="13" s="1"/>
  <c r="K12" i="13"/>
  <c r="K15" i="13" s="1"/>
  <c r="K17" i="13" s="1"/>
  <c r="L12" i="12"/>
  <c r="L15" i="12" s="1"/>
  <c r="L8" i="12"/>
  <c r="L8" i="13"/>
  <c r="L12" i="13" s="1"/>
  <c r="L14" i="13"/>
  <c r="L15" i="6"/>
  <c r="J39" i="10"/>
  <c r="M14" i="3"/>
  <c r="M12" i="3"/>
  <c r="M8" i="3"/>
  <c r="L8" i="5"/>
  <c r="L12" i="5"/>
  <c r="M8" i="6"/>
  <c r="M14" i="6"/>
  <c r="M12" i="6"/>
  <c r="L8" i="4"/>
  <c r="L14" i="4"/>
  <c r="L12" i="4"/>
  <c r="M6" i="4"/>
  <c r="L16" i="10"/>
  <c r="L18" i="10" s="1"/>
  <c r="N6" i="6"/>
  <c r="M6" i="5"/>
  <c r="K15" i="5"/>
  <c r="N5" i="3"/>
  <c r="N6" i="3" s="1"/>
  <c r="M5" i="2"/>
  <c r="N6" i="5" l="1"/>
  <c r="N8" i="5" s="1"/>
  <c r="L8" i="2"/>
  <c r="L12" i="2" s="1"/>
  <c r="M6" i="2"/>
  <c r="M14" i="2" s="1"/>
  <c r="K17" i="5"/>
  <c r="J19" i="20"/>
  <c r="J19" i="21"/>
  <c r="I10" i="21"/>
  <c r="I10" i="20"/>
  <c r="K21" i="13"/>
  <c r="K23" i="13" s="1"/>
  <c r="K24" i="13" s="1"/>
  <c r="K26" i="13" s="1"/>
  <c r="K28" i="13" s="1"/>
  <c r="L28" i="12"/>
  <c r="M14" i="13"/>
  <c r="M8" i="13"/>
  <c r="M12" i="13" s="1"/>
  <c r="N5" i="13"/>
  <c r="N6" i="13" s="1"/>
  <c r="N8" i="12"/>
  <c r="N12" i="12"/>
  <c r="N15" i="12" s="1"/>
  <c r="L15" i="13"/>
  <c r="L17" i="13" s="1"/>
  <c r="M12" i="12"/>
  <c r="M15" i="12" s="1"/>
  <c r="M8" i="12"/>
  <c r="M15" i="6"/>
  <c r="K39" i="10"/>
  <c r="M8" i="5"/>
  <c r="M12" i="5"/>
  <c r="N8" i="6"/>
  <c r="N14" i="6"/>
  <c r="N12" i="6"/>
  <c r="N14" i="3"/>
  <c r="N12" i="3"/>
  <c r="N8" i="3"/>
  <c r="M8" i="4"/>
  <c r="M14" i="4"/>
  <c r="M12" i="4"/>
  <c r="N6" i="4"/>
  <c r="M16" i="10"/>
  <c r="M18" i="10" s="1"/>
  <c r="L15" i="5"/>
  <c r="N5" i="2"/>
  <c r="N12" i="5" l="1"/>
  <c r="N15" i="5" s="1"/>
  <c r="K27" i="13"/>
  <c r="N6" i="2"/>
  <c r="N14" i="2" s="1"/>
  <c r="M8" i="2"/>
  <c r="M12" i="2" s="1"/>
  <c r="M15" i="5"/>
  <c r="M17" i="5" s="1"/>
  <c r="L10" i="21" s="1"/>
  <c r="L17" i="5"/>
  <c r="K10" i="21" s="1"/>
  <c r="K19" i="21"/>
  <c r="J10" i="20"/>
  <c r="J10" i="21"/>
  <c r="L21" i="13"/>
  <c r="L23" i="13" s="1"/>
  <c r="L24" i="13" s="1"/>
  <c r="L26" i="13" s="1"/>
  <c r="L28" i="13" s="1"/>
  <c r="M15" i="13"/>
  <c r="N15" i="6"/>
  <c r="C32" i="12"/>
  <c r="N14" i="13"/>
  <c r="N8" i="13"/>
  <c r="N12" i="13" s="1"/>
  <c r="M28" i="12"/>
  <c r="L39" i="10"/>
  <c r="N8" i="4"/>
  <c r="N14" i="4"/>
  <c r="N12" i="4"/>
  <c r="N16" i="10"/>
  <c r="N18" i="10" s="1"/>
  <c r="N8" i="2" l="1"/>
  <c r="N12" i="2" s="1"/>
  <c r="L27" i="13"/>
  <c r="N28" i="12"/>
  <c r="L19" i="21"/>
  <c r="N17" i="5"/>
  <c r="M10" i="21" s="1"/>
  <c r="M19" i="21"/>
  <c r="M17" i="13"/>
  <c r="L18" i="21"/>
  <c r="M21" i="13"/>
  <c r="M23" i="13" s="1"/>
  <c r="M24" i="13" s="1"/>
  <c r="M26" i="13" s="1"/>
  <c r="M28" i="13" s="1"/>
  <c r="N15" i="13"/>
  <c r="M39" i="10"/>
  <c r="C35" i="5" l="1"/>
  <c r="G8" i="10" s="1"/>
  <c r="N39" i="10"/>
  <c r="O39" i="10" s="1"/>
  <c r="M27" i="13"/>
  <c r="N17" i="13"/>
  <c r="M18" i="21"/>
  <c r="L9" i="21"/>
  <c r="M17" i="6"/>
  <c r="N17" i="6"/>
  <c r="C31" i="6" s="1"/>
  <c r="G17" i="6"/>
  <c r="K17" i="6"/>
  <c r="I17" i="6"/>
  <c r="L17" i="6"/>
  <c r="H17" i="6"/>
  <c r="J17" i="6"/>
  <c r="F17" i="6"/>
  <c r="C34" i="6" l="1"/>
  <c r="M9" i="21"/>
  <c r="N21" i="13"/>
  <c r="N23" i="13" s="1"/>
  <c r="N24" i="13" s="1"/>
  <c r="N26" i="13" s="1"/>
  <c r="N28" i="13" s="1"/>
  <c r="C31" i="13"/>
  <c r="C36" i="13" s="1"/>
  <c r="G7" i="10"/>
  <c r="F32" i="6"/>
  <c r="N27" i="13" l="1"/>
  <c r="C35" i="6"/>
  <c r="C38" i="6" s="1"/>
  <c r="C39" i="6" s="1"/>
  <c r="C40" i="6" l="1"/>
  <c r="F33" i="6"/>
  <c r="F34" i="6" s="1"/>
  <c r="M18" i="6" l="1"/>
  <c r="F18" i="6"/>
  <c r="J18" i="6"/>
  <c r="N18" i="6"/>
  <c r="K18" i="6"/>
  <c r="E18" i="6"/>
  <c r="G18" i="6"/>
  <c r="H18" i="6"/>
  <c r="L18" i="6"/>
  <c r="I18" i="6"/>
  <c r="E17" i="6"/>
  <c r="F26" i="6" s="1"/>
  <c r="G26" i="6" s="1"/>
  <c r="H26" i="6" s="1"/>
  <c r="I26" i="6" s="1"/>
  <c r="J26" i="6" s="1"/>
  <c r="K26" i="6" s="1"/>
  <c r="L26" i="6" s="1"/>
  <c r="M26" i="6" s="1"/>
  <c r="N26" i="6" s="1"/>
  <c r="N24" i="6"/>
  <c r="F24" i="6"/>
  <c r="J24" i="6"/>
  <c r="L24" i="6"/>
  <c r="I24" i="6"/>
  <c r="M24" i="6"/>
  <c r="H24" i="6"/>
  <c r="E24" i="6"/>
  <c r="K24" i="6"/>
  <c r="G24" i="6"/>
  <c r="G20" i="6" l="1"/>
  <c r="G27" i="6" s="1"/>
  <c r="H20" i="6"/>
  <c r="H27" i="6" s="1"/>
  <c r="F20" i="6"/>
  <c r="F27" i="6" s="1"/>
  <c r="N20" i="6"/>
  <c r="N27" i="6" s="1"/>
  <c r="K20" i="6"/>
  <c r="K27" i="6" s="1"/>
  <c r="M20" i="6"/>
  <c r="M27" i="6" s="1"/>
  <c r="J20" i="6"/>
  <c r="J27" i="6" s="1"/>
  <c r="I20" i="6"/>
  <c r="I27" i="6" s="1"/>
  <c r="L20" i="6"/>
  <c r="L27" i="6" s="1"/>
  <c r="E20" i="6"/>
  <c r="E27" i="6" s="1"/>
  <c r="J22" i="6" l="1"/>
  <c r="J23" i="6" s="1"/>
  <c r="J25" i="6" s="1"/>
  <c r="J28" i="6" s="1"/>
  <c r="K22" i="6"/>
  <c r="K23" i="6" s="1"/>
  <c r="K25" i="6" s="1"/>
  <c r="K28" i="6" s="1"/>
  <c r="E22" i="6"/>
  <c r="E23" i="6" s="1"/>
  <c r="E25" i="6" s="1"/>
  <c r="E28" i="6" s="1"/>
  <c r="I22" i="6"/>
  <c r="I23" i="6" s="1"/>
  <c r="I25" i="6" s="1"/>
  <c r="I28" i="6" s="1"/>
  <c r="M22" i="6"/>
  <c r="M23" i="6" s="1"/>
  <c r="M25" i="6" s="1"/>
  <c r="M28" i="6" s="1"/>
  <c r="N22" i="6"/>
  <c r="N23" i="6" s="1"/>
  <c r="N25" i="6" s="1"/>
  <c r="N28" i="6" s="1"/>
  <c r="F22" i="6"/>
  <c r="F23" i="6" s="1"/>
  <c r="F25" i="6" s="1"/>
  <c r="F28" i="6" s="1"/>
  <c r="H22" i="6"/>
  <c r="H23" i="6" s="1"/>
  <c r="H25" i="6" s="1"/>
  <c r="H28" i="6" s="1"/>
  <c r="L22" i="6"/>
  <c r="L23" i="6" s="1"/>
  <c r="L25" i="6" s="1"/>
  <c r="L28" i="6" s="1"/>
  <c r="G22" i="6"/>
  <c r="G23" i="6" s="1"/>
  <c r="G25" i="6" s="1"/>
  <c r="G28" i="6" s="1"/>
  <c r="K29" i="10"/>
  <c r="N29" i="10" l="1"/>
  <c r="G29" i="10"/>
  <c r="H29" i="10"/>
  <c r="J29" i="10"/>
  <c r="I29" i="10"/>
  <c r="L29" i="10"/>
  <c r="F29" i="10"/>
  <c r="M29" i="10"/>
  <c r="D23" i="10"/>
  <c r="D25" i="10" s="1"/>
  <c r="D27" i="10" s="1"/>
  <c r="D34" i="10" l="1"/>
  <c r="N25" i="4" l="1"/>
  <c r="J25" i="4"/>
  <c r="F25" i="4"/>
  <c r="M25" i="4"/>
  <c r="I25" i="4"/>
  <c r="E25" i="4"/>
  <c r="K25" i="4"/>
  <c r="G25" i="4"/>
  <c r="L25" i="4"/>
  <c r="H25" i="4"/>
  <c r="H18" i="4" l="1"/>
  <c r="L18" i="4"/>
  <c r="I18" i="4"/>
  <c r="M18" i="4"/>
  <c r="G18" i="4"/>
  <c r="K18" i="4"/>
  <c r="F18" i="4"/>
  <c r="J18" i="4"/>
  <c r="N18" i="4"/>
  <c r="C35" i="3" l="1"/>
  <c r="C36" i="3" s="1"/>
  <c r="C39" i="3" s="1"/>
  <c r="C47" i="2"/>
  <c r="C39" i="4" l="1"/>
  <c r="C40" i="4" s="1"/>
  <c r="C41" i="4" s="1"/>
  <c r="E11" i="4" s="1"/>
  <c r="C40" i="3"/>
  <c r="C41" i="3" s="1"/>
  <c r="C3" i="9" l="1"/>
  <c r="C48" i="2"/>
  <c r="H11" i="3"/>
  <c r="M11" i="3"/>
  <c r="G11" i="3"/>
  <c r="K11" i="3"/>
  <c r="E11" i="3"/>
  <c r="J11" i="3"/>
  <c r="N11" i="3"/>
  <c r="F11" i="3"/>
  <c r="L11" i="3"/>
  <c r="I11" i="3"/>
  <c r="K11" i="4"/>
  <c r="H11" i="4"/>
  <c r="G11" i="4"/>
  <c r="M11" i="4"/>
  <c r="L11" i="4"/>
  <c r="E15" i="4"/>
  <c r="D17" i="21" s="1"/>
  <c r="I11" i="4"/>
  <c r="F11" i="4"/>
  <c r="N11" i="4"/>
  <c r="J11" i="4"/>
  <c r="H15" i="4" l="1"/>
  <c r="H17" i="4" s="1"/>
  <c r="K15" i="4"/>
  <c r="K17" i="4" s="1"/>
  <c r="I15" i="4"/>
  <c r="H17" i="20" s="1"/>
  <c r="L15" i="4"/>
  <c r="K17" i="21" s="1"/>
  <c r="G15" i="4"/>
  <c r="F17" i="20" s="1"/>
  <c r="J15" i="4"/>
  <c r="I17" i="20" s="1"/>
  <c r="N15" i="4"/>
  <c r="M17" i="21" s="1"/>
  <c r="F15" i="4"/>
  <c r="E17" i="21" s="1"/>
  <c r="M15" i="4"/>
  <c r="L17" i="21" s="1"/>
  <c r="G17" i="19"/>
  <c r="G17" i="20"/>
  <c r="G17" i="21"/>
  <c r="J17" i="20"/>
  <c r="J17" i="21"/>
  <c r="E17" i="4"/>
  <c r="D17" i="20"/>
  <c r="D17" i="19"/>
  <c r="N11" i="2"/>
  <c r="C4" i="9"/>
  <c r="C5" i="9" s="1"/>
  <c r="F3" i="9" s="1"/>
  <c r="F15" i="3"/>
  <c r="N15" i="3"/>
  <c r="E15" i="3"/>
  <c r="D16" i="21" s="1"/>
  <c r="G15" i="3"/>
  <c r="M15" i="3"/>
  <c r="I15" i="3"/>
  <c r="L15" i="3"/>
  <c r="J15" i="3"/>
  <c r="K15" i="3"/>
  <c r="H15" i="3"/>
  <c r="J11" i="2"/>
  <c r="F11" i="2"/>
  <c r="E11" i="2"/>
  <c r="G11" i="2"/>
  <c r="H11" i="2"/>
  <c r="K11" i="2"/>
  <c r="M11" i="2"/>
  <c r="L11" i="2"/>
  <c r="I11" i="2"/>
  <c r="E17" i="20" l="1"/>
  <c r="I17" i="4"/>
  <c r="J17" i="4"/>
  <c r="I8" i="21" s="1"/>
  <c r="F17" i="19"/>
  <c r="F17" i="21"/>
  <c r="M17" i="4"/>
  <c r="L8" i="21" s="1"/>
  <c r="G17" i="4"/>
  <c r="F8" i="20" s="1"/>
  <c r="I17" i="21"/>
  <c r="E17" i="19"/>
  <c r="N17" i="4"/>
  <c r="M8" i="21" s="1"/>
  <c r="H17" i="21"/>
  <c r="F17" i="4"/>
  <c r="F21" i="4" s="1"/>
  <c r="F23" i="4" s="1"/>
  <c r="F24" i="4" s="1"/>
  <c r="L17" i="4"/>
  <c r="K8" i="21" s="1"/>
  <c r="E15" i="2"/>
  <c r="E17" i="2" s="1"/>
  <c r="E28" i="2" s="1"/>
  <c r="N15" i="2"/>
  <c r="N17" i="2" s="1"/>
  <c r="N21" i="2" s="1"/>
  <c r="N23" i="2" s="1"/>
  <c r="N24" i="2" s="1"/>
  <c r="N27" i="2" s="1"/>
  <c r="N29" i="2" s="1"/>
  <c r="F35" i="5"/>
  <c r="H17" i="3"/>
  <c r="H27" i="3" s="1"/>
  <c r="G16" i="20"/>
  <c r="G16" i="19"/>
  <c r="G16" i="21"/>
  <c r="N17" i="3"/>
  <c r="N21" i="3" s="1"/>
  <c r="N23" i="3" s="1"/>
  <c r="N24" i="3" s="1"/>
  <c r="N26" i="3" s="1"/>
  <c r="N28" i="3" s="1"/>
  <c r="M16" i="21"/>
  <c r="I17" i="3"/>
  <c r="I27" i="3" s="1"/>
  <c r="H16" i="20"/>
  <c r="H16" i="21"/>
  <c r="M17" i="3"/>
  <c r="M27" i="3" s="1"/>
  <c r="L16" i="21"/>
  <c r="K17" i="3"/>
  <c r="K27" i="3" s="1"/>
  <c r="J16" i="20"/>
  <c r="J16" i="21"/>
  <c r="F17" i="3"/>
  <c r="F27" i="3" s="1"/>
  <c r="E16" i="21"/>
  <c r="E20" i="21" s="1"/>
  <c r="E26" i="21" s="1"/>
  <c r="E16" i="20"/>
  <c r="E20" i="20" s="1"/>
  <c r="E26" i="20" s="1"/>
  <c r="E16" i="19"/>
  <c r="J17" i="3"/>
  <c r="J27" i="3" s="1"/>
  <c r="I16" i="20"/>
  <c r="I16" i="21"/>
  <c r="L17" i="3"/>
  <c r="L27" i="3" s="1"/>
  <c r="K16" i="21"/>
  <c r="G17" i="3"/>
  <c r="G27" i="3" s="1"/>
  <c r="F16" i="21"/>
  <c r="F20" i="21" s="1"/>
  <c r="F26" i="21" s="1"/>
  <c r="F16" i="20"/>
  <c r="F20" i="20" s="1"/>
  <c r="F26" i="20" s="1"/>
  <c r="F16" i="19"/>
  <c r="E17" i="3"/>
  <c r="E27" i="3" s="1"/>
  <c r="D16" i="19"/>
  <c r="D20" i="19" s="1"/>
  <c r="D26" i="19" s="1"/>
  <c r="D20" i="21"/>
  <c r="D26" i="21" s="1"/>
  <c r="D16" i="20"/>
  <c r="D20" i="20" s="1"/>
  <c r="D26" i="20" s="1"/>
  <c r="H8" i="21"/>
  <c r="H8" i="20"/>
  <c r="E21" i="4"/>
  <c r="E23" i="4" s="1"/>
  <c r="E24" i="4" s="1"/>
  <c r="D8" i="21"/>
  <c r="D8" i="19"/>
  <c r="D8" i="20"/>
  <c r="J8" i="20"/>
  <c r="J8" i="21"/>
  <c r="G8" i="19"/>
  <c r="G8" i="20"/>
  <c r="G8" i="21"/>
  <c r="I8" i="20"/>
  <c r="F32" i="12"/>
  <c r="F33" i="12" s="1"/>
  <c r="F34" i="12" s="1"/>
  <c r="J25" i="12" s="1"/>
  <c r="D41" i="10"/>
  <c r="I5" i="11"/>
  <c r="F6" i="9"/>
  <c r="F7" i="9" s="1"/>
  <c r="F5" i="9"/>
  <c r="F15" i="2"/>
  <c r="F17" i="2" s="1"/>
  <c r="K15" i="2"/>
  <c r="G15" i="2"/>
  <c r="G17" i="2" s="1"/>
  <c r="J15" i="2"/>
  <c r="L15" i="2"/>
  <c r="M15" i="2"/>
  <c r="H15" i="2"/>
  <c r="I15" i="2"/>
  <c r="J25" i="10"/>
  <c r="J27" i="10" s="1"/>
  <c r="N25" i="10"/>
  <c r="N27" i="10" s="1"/>
  <c r="F25" i="10"/>
  <c r="F27" i="10" s="1"/>
  <c r="I21" i="4"/>
  <c r="I23" i="4" s="1"/>
  <c r="I24" i="4" s="1"/>
  <c r="K21" i="4"/>
  <c r="K23" i="4" s="1"/>
  <c r="K24" i="4" s="1"/>
  <c r="H21" i="4"/>
  <c r="H23" i="4" s="1"/>
  <c r="H24" i="4" s="1"/>
  <c r="J21" i="4" l="1"/>
  <c r="J23" i="4" s="1"/>
  <c r="J24" i="4" s="1"/>
  <c r="N21" i="4"/>
  <c r="N23" i="4" s="1"/>
  <c r="N24" i="4" s="1"/>
  <c r="C31" i="4"/>
  <c r="F55" i="10"/>
  <c r="F20" i="19"/>
  <c r="F26" i="19" s="1"/>
  <c r="M21" i="4"/>
  <c r="M23" i="4" s="1"/>
  <c r="M24" i="4" s="1"/>
  <c r="M27" i="4" s="1"/>
  <c r="E8" i="21"/>
  <c r="E20" i="19"/>
  <c r="E26" i="19" s="1"/>
  <c r="L21" i="4"/>
  <c r="L23" i="4" s="1"/>
  <c r="L24" i="4" s="1"/>
  <c r="L27" i="4" s="1"/>
  <c r="E8" i="20"/>
  <c r="E8" i="19"/>
  <c r="G21" i="4"/>
  <c r="G23" i="4" s="1"/>
  <c r="G24" i="4" s="1"/>
  <c r="G26" i="4" s="1"/>
  <c r="G28" i="4" s="1"/>
  <c r="M15" i="21"/>
  <c r="M20" i="21" s="1"/>
  <c r="M26" i="21" s="1"/>
  <c r="C31" i="3"/>
  <c r="G6" i="10" s="1"/>
  <c r="F8" i="19"/>
  <c r="F8" i="21"/>
  <c r="M7" i="21"/>
  <c r="M11" i="21" s="1"/>
  <c r="N27" i="3"/>
  <c r="E21" i="3"/>
  <c r="E23" i="3" s="1"/>
  <c r="E26" i="3" s="1"/>
  <c r="E28" i="3" s="1"/>
  <c r="D7" i="21"/>
  <c r="D11" i="21" s="1"/>
  <c r="D7" i="19"/>
  <c r="D11" i="19" s="1"/>
  <c r="D7" i="20"/>
  <c r="D11" i="20" s="1"/>
  <c r="J21" i="3"/>
  <c r="J23" i="3" s="1"/>
  <c r="J24" i="3" s="1"/>
  <c r="J26" i="3" s="1"/>
  <c r="J28" i="3" s="1"/>
  <c r="I7" i="21"/>
  <c r="I11" i="21" s="1"/>
  <c r="K21" i="3"/>
  <c r="K23" i="3" s="1"/>
  <c r="K24" i="3" s="1"/>
  <c r="K26" i="3" s="1"/>
  <c r="K28" i="3" s="1"/>
  <c r="J7" i="21"/>
  <c r="J11" i="21" s="1"/>
  <c r="L21" i="3"/>
  <c r="L23" i="3" s="1"/>
  <c r="L24" i="3" s="1"/>
  <c r="L26" i="3" s="1"/>
  <c r="L28" i="3" s="1"/>
  <c r="K7" i="21"/>
  <c r="K11" i="21" s="1"/>
  <c r="G21" i="3"/>
  <c r="G23" i="3" s="1"/>
  <c r="G24" i="3" s="1"/>
  <c r="G26" i="3" s="1"/>
  <c r="G28" i="3" s="1"/>
  <c r="F7" i="19"/>
  <c r="F7" i="20"/>
  <c r="F11" i="20" s="1"/>
  <c r="F7" i="21"/>
  <c r="M21" i="3"/>
  <c r="M23" i="3" s="1"/>
  <c r="M24" i="3" s="1"/>
  <c r="M26" i="3" s="1"/>
  <c r="M28" i="3" s="1"/>
  <c r="L7" i="21"/>
  <c r="L11" i="21" s="1"/>
  <c r="F21" i="3"/>
  <c r="F23" i="3" s="1"/>
  <c r="F24" i="3" s="1"/>
  <c r="F26" i="3" s="1"/>
  <c r="F28" i="3" s="1"/>
  <c r="E7" i="19"/>
  <c r="E7" i="20"/>
  <c r="E7" i="21"/>
  <c r="H21" i="3"/>
  <c r="H23" i="3" s="1"/>
  <c r="H24" i="3" s="1"/>
  <c r="H26" i="3" s="1"/>
  <c r="H28" i="3" s="1"/>
  <c r="G7" i="19"/>
  <c r="G7" i="20" s="1"/>
  <c r="G7" i="21"/>
  <c r="G11" i="21" s="1"/>
  <c r="I21" i="3"/>
  <c r="I23" i="3" s="1"/>
  <c r="I24" i="3" s="1"/>
  <c r="I26" i="3" s="1"/>
  <c r="I28" i="3" s="1"/>
  <c r="H7" i="21"/>
  <c r="H11" i="21" s="1"/>
  <c r="I12" i="11"/>
  <c r="J17" i="2"/>
  <c r="J21" i="2" s="1"/>
  <c r="J23" i="2" s="1"/>
  <c r="J24" i="2" s="1"/>
  <c r="J27" i="2" s="1"/>
  <c r="J29" i="2" s="1"/>
  <c r="I15" i="21"/>
  <c r="I20" i="21" s="1"/>
  <c r="I26" i="21" s="1"/>
  <c r="I15" i="20"/>
  <c r="I20" i="20" s="1"/>
  <c r="I26" i="20" s="1"/>
  <c r="K17" i="2"/>
  <c r="J15" i="21"/>
  <c r="J20" i="21" s="1"/>
  <c r="J26" i="21" s="1"/>
  <c r="J15" i="20"/>
  <c r="J20" i="20" s="1"/>
  <c r="J26" i="20" s="1"/>
  <c r="I17" i="2"/>
  <c r="I21" i="2" s="1"/>
  <c r="I23" i="2" s="1"/>
  <c r="I24" i="2" s="1"/>
  <c r="I27" i="2" s="1"/>
  <c r="I29" i="2" s="1"/>
  <c r="H15" i="20"/>
  <c r="H20" i="20" s="1"/>
  <c r="H26" i="20" s="1"/>
  <c r="H15" i="21"/>
  <c r="H20" i="21" s="1"/>
  <c r="H26" i="21" s="1"/>
  <c r="M17" i="2"/>
  <c r="M21" i="2" s="1"/>
  <c r="M23" i="2" s="1"/>
  <c r="M24" i="2" s="1"/>
  <c r="M27" i="2" s="1"/>
  <c r="M29" i="2" s="1"/>
  <c r="L15" i="21"/>
  <c r="L20" i="21" s="1"/>
  <c r="L26" i="21" s="1"/>
  <c r="H17" i="2"/>
  <c r="G15" i="19"/>
  <c r="G20" i="19" s="1"/>
  <c r="G26" i="19" s="1"/>
  <c r="G15" i="21"/>
  <c r="G20" i="21" s="1"/>
  <c r="G26" i="21" s="1"/>
  <c r="G15" i="20"/>
  <c r="G20" i="20" s="1"/>
  <c r="G26" i="20" s="1"/>
  <c r="L17" i="2"/>
  <c r="L21" i="2" s="1"/>
  <c r="L23" i="2" s="1"/>
  <c r="L24" i="2" s="1"/>
  <c r="L27" i="2" s="1"/>
  <c r="L29" i="2" s="1"/>
  <c r="K15" i="21"/>
  <c r="K20" i="21" s="1"/>
  <c r="K26" i="21" s="1"/>
  <c r="C33" i="2"/>
  <c r="C38" i="2" s="1"/>
  <c r="K26" i="4"/>
  <c r="K28" i="4" s="1"/>
  <c r="K27" i="4"/>
  <c r="I26" i="4"/>
  <c r="I28" i="4" s="1"/>
  <c r="I27" i="4"/>
  <c r="N26" i="4"/>
  <c r="N28" i="4" s="1"/>
  <c r="N27" i="4"/>
  <c r="F26" i="4"/>
  <c r="F28" i="4" s="1"/>
  <c r="F27" i="4"/>
  <c r="J26" i="4"/>
  <c r="J28" i="4" s="1"/>
  <c r="J27" i="4"/>
  <c r="H26" i="4"/>
  <c r="H28" i="4" s="1"/>
  <c r="H27" i="4"/>
  <c r="E26" i="4"/>
  <c r="E28" i="4" s="1"/>
  <c r="E27" i="4"/>
  <c r="F26" i="2"/>
  <c r="E21" i="2"/>
  <c r="E23" i="2" s="1"/>
  <c r="E24" i="2" s="1"/>
  <c r="E27" i="2" s="1"/>
  <c r="E29" i="2" s="1"/>
  <c r="G21" i="2"/>
  <c r="G23" i="2" s="1"/>
  <c r="G24" i="2" s="1"/>
  <c r="G27" i="2" s="1"/>
  <c r="G29" i="2" s="1"/>
  <c r="F21" i="2"/>
  <c r="F23" i="2" s="1"/>
  <c r="F24" i="2" s="1"/>
  <c r="F27" i="2" s="1"/>
  <c r="F29" i="2" s="1"/>
  <c r="H25" i="12"/>
  <c r="K25" i="12"/>
  <c r="I25" i="12"/>
  <c r="E25" i="12"/>
  <c r="F35" i="12"/>
  <c r="J18" i="12" s="1"/>
  <c r="J21" i="12" s="1"/>
  <c r="J23" i="12" s="1"/>
  <c r="J24" i="12" s="1"/>
  <c r="J26" i="12" s="1"/>
  <c r="J29" i="12" s="1"/>
  <c r="F36" i="5"/>
  <c r="F37" i="5" s="1"/>
  <c r="J29" i="5" s="1"/>
  <c r="M25" i="12"/>
  <c r="G25" i="12"/>
  <c r="L25" i="12"/>
  <c r="F25" i="12"/>
  <c r="N25" i="12"/>
  <c r="H33" i="2"/>
  <c r="G25" i="10"/>
  <c r="G27" i="10" s="1"/>
  <c r="E25" i="10"/>
  <c r="E27" i="10" s="1"/>
  <c r="K25" i="10"/>
  <c r="K27" i="10" s="1"/>
  <c r="I25" i="10"/>
  <c r="I27" i="10" s="1"/>
  <c r="H25" i="10"/>
  <c r="H27" i="10" s="1"/>
  <c r="M25" i="10"/>
  <c r="M27" i="10" s="1"/>
  <c r="L25" i="10"/>
  <c r="L27" i="10" s="1"/>
  <c r="F28" i="2" l="1"/>
  <c r="G26" i="2"/>
  <c r="H26" i="2" s="1"/>
  <c r="I26" i="2" s="1"/>
  <c r="J26" i="2" s="1"/>
  <c r="K26" i="2" s="1"/>
  <c r="L26" i="2" s="1"/>
  <c r="M26" i="2" s="1"/>
  <c r="N26" i="2" s="1"/>
  <c r="E11" i="21"/>
  <c r="G4" i="10"/>
  <c r="M26" i="4"/>
  <c r="M28" i="4" s="1"/>
  <c r="L26" i="4"/>
  <c r="L28" i="4" s="1"/>
  <c r="G27" i="4"/>
  <c r="E11" i="20"/>
  <c r="F11" i="19"/>
  <c r="E11" i="19"/>
  <c r="F11" i="21"/>
  <c r="F27" i="21" s="1"/>
  <c r="G5" i="10"/>
  <c r="E43" i="10" s="1"/>
  <c r="E27" i="21"/>
  <c r="E28" i="21"/>
  <c r="E29" i="21" s="1"/>
  <c r="I27" i="21"/>
  <c r="I28" i="21"/>
  <c r="I29" i="21" s="1"/>
  <c r="K27" i="21"/>
  <c r="K28" i="21"/>
  <c r="K29" i="21" s="1"/>
  <c r="H27" i="21"/>
  <c r="H28" i="21"/>
  <c r="H29" i="21" s="1"/>
  <c r="L27" i="21"/>
  <c r="L28" i="21"/>
  <c r="L29" i="21" s="1"/>
  <c r="D27" i="21"/>
  <c r="D28" i="21"/>
  <c r="D29" i="21" s="1"/>
  <c r="G27" i="21"/>
  <c r="G28" i="21"/>
  <c r="G29" i="21" s="1"/>
  <c r="J27" i="21"/>
  <c r="J28" i="21"/>
  <c r="J29" i="21" s="1"/>
  <c r="M27" i="21"/>
  <c r="M28" i="21"/>
  <c r="M29" i="21" s="1"/>
  <c r="G6" i="20"/>
  <c r="G11" i="20" s="1"/>
  <c r="G6" i="19"/>
  <c r="G11" i="19" s="1"/>
  <c r="J6" i="20"/>
  <c r="J11" i="20" s="1"/>
  <c r="H6" i="20"/>
  <c r="H11" i="20" s="1"/>
  <c r="H21" i="2"/>
  <c r="H23" i="2" s="1"/>
  <c r="H24" i="2" s="1"/>
  <c r="H27" i="2" s="1"/>
  <c r="H29" i="2" s="1"/>
  <c r="K21" i="2"/>
  <c r="K23" i="2" s="1"/>
  <c r="K24" i="2" s="1"/>
  <c r="K27" i="2" s="1"/>
  <c r="K29" i="2" s="1"/>
  <c r="I6" i="20"/>
  <c r="I11" i="20" s="1"/>
  <c r="G18" i="12"/>
  <c r="G21" i="12" s="1"/>
  <c r="G23" i="12" s="1"/>
  <c r="G24" i="12" s="1"/>
  <c r="G26" i="12" s="1"/>
  <c r="G29" i="12" s="1"/>
  <c r="H18" i="12"/>
  <c r="H21" i="12" s="1"/>
  <c r="H23" i="12" s="1"/>
  <c r="H24" i="12" s="1"/>
  <c r="H26" i="12" s="1"/>
  <c r="H29" i="12" s="1"/>
  <c r="N18" i="12"/>
  <c r="N21" i="12" s="1"/>
  <c r="N23" i="12" s="1"/>
  <c r="N24" i="12" s="1"/>
  <c r="N26" i="12" s="1"/>
  <c r="N29" i="12" s="1"/>
  <c r="I29" i="5"/>
  <c r="F29" i="5"/>
  <c r="I18" i="12"/>
  <c r="I21" i="12" s="1"/>
  <c r="I23" i="12" s="1"/>
  <c r="I24" i="12" s="1"/>
  <c r="I26" i="12" s="1"/>
  <c r="I29" i="12" s="1"/>
  <c r="K18" i="12"/>
  <c r="K21" i="12" s="1"/>
  <c r="K23" i="12" s="1"/>
  <c r="K24" i="12" s="1"/>
  <c r="K26" i="12" s="1"/>
  <c r="K29" i="12" s="1"/>
  <c r="K29" i="5"/>
  <c r="M18" i="12"/>
  <c r="M21" i="12" s="1"/>
  <c r="M23" i="12" s="1"/>
  <c r="M24" i="12" s="1"/>
  <c r="M26" i="12" s="1"/>
  <c r="M29" i="12" s="1"/>
  <c r="F18" i="12"/>
  <c r="F21" i="12" s="1"/>
  <c r="F23" i="12" s="1"/>
  <c r="F24" i="12" s="1"/>
  <c r="F26" i="12" s="1"/>
  <c r="F29" i="12" s="1"/>
  <c r="F38" i="5"/>
  <c r="F18" i="5" s="1"/>
  <c r="L18" i="12"/>
  <c r="L21" i="12" s="1"/>
  <c r="L23" i="12" s="1"/>
  <c r="L24" i="12" s="1"/>
  <c r="L26" i="12" s="1"/>
  <c r="L29" i="12" s="1"/>
  <c r="E29" i="5"/>
  <c r="N29" i="5"/>
  <c r="E18" i="12"/>
  <c r="E21" i="12" s="1"/>
  <c r="E23" i="12" s="1"/>
  <c r="E24" i="12" s="1"/>
  <c r="E26" i="12" s="1"/>
  <c r="E29" i="12" s="1"/>
  <c r="H29" i="5"/>
  <c r="L29" i="5"/>
  <c r="G29" i="5"/>
  <c r="M29" i="5"/>
  <c r="N28" i="2" l="1"/>
  <c r="E26" i="25"/>
  <c r="H33" i="21" a="1"/>
  <c r="H33" i="21" s="1"/>
  <c r="H31" i="21" a="1"/>
  <c r="H31" i="21" s="1"/>
  <c r="H35" i="21" s="1"/>
  <c r="G28" i="2"/>
  <c r="H28" i="2"/>
  <c r="O43" i="10"/>
  <c r="F28" i="21"/>
  <c r="F29" i="21" s="1"/>
  <c r="F21" i="5"/>
  <c r="I28" i="2"/>
  <c r="L28" i="2"/>
  <c r="K28" i="2"/>
  <c r="J28" i="2"/>
  <c r="M28" i="2"/>
  <c r="I18" i="5"/>
  <c r="J18" i="5"/>
  <c r="J21" i="5" s="1"/>
  <c r="J31" i="5" s="1"/>
  <c r="E18" i="5"/>
  <c r="E21" i="5" s="1"/>
  <c r="E31" i="5" s="1"/>
  <c r="K18" i="5"/>
  <c r="H18" i="5"/>
  <c r="G18" i="5"/>
  <c r="L18" i="5"/>
  <c r="N18" i="5"/>
  <c r="M18" i="5"/>
  <c r="I21" i="5"/>
  <c r="I31" i="5" s="1"/>
  <c r="F26" i="25" l="1"/>
  <c r="E28" i="25"/>
  <c r="F27" i="5"/>
  <c r="F28" i="5" s="1"/>
  <c r="F30" i="5" s="1"/>
  <c r="F32" i="5" s="1"/>
  <c r="F31" i="5"/>
  <c r="K21" i="5"/>
  <c r="K31" i="5" s="1"/>
  <c r="M21" i="5"/>
  <c r="M31" i="5" s="1"/>
  <c r="N21" i="5"/>
  <c r="L21" i="5"/>
  <c r="G21" i="5"/>
  <c r="G31" i="5" s="1"/>
  <c r="H21" i="5"/>
  <c r="H31" i="5" s="1"/>
  <c r="E27" i="5"/>
  <c r="E28" i="5" s="1"/>
  <c r="E30" i="5" s="1"/>
  <c r="E32" i="5" s="1"/>
  <c r="J27" i="5"/>
  <c r="J28" i="5" s="1"/>
  <c r="J30" i="5" s="1"/>
  <c r="J32" i="5" s="1"/>
  <c r="I27" i="5"/>
  <c r="I28" i="5" s="1"/>
  <c r="I30" i="5" s="1"/>
  <c r="I32" i="5" s="1"/>
  <c r="G26" i="25" l="1"/>
  <c r="F28" i="25"/>
  <c r="M27" i="5"/>
  <c r="M28" i="5" s="1"/>
  <c r="M30" i="5" s="1"/>
  <c r="M32" i="5" s="1"/>
  <c r="G27" i="5"/>
  <c r="G28" i="5" s="1"/>
  <c r="G30" i="5" s="1"/>
  <c r="G32" i="5" s="1"/>
  <c r="K27" i="5"/>
  <c r="K28" i="5" s="1"/>
  <c r="K30" i="5" s="1"/>
  <c r="K32" i="5" s="1"/>
  <c r="H27" i="5"/>
  <c r="H28" i="5" s="1"/>
  <c r="H30" i="5" s="1"/>
  <c r="H32" i="5" s="1"/>
  <c r="N27" i="5"/>
  <c r="N28" i="5" s="1"/>
  <c r="N30" i="5" s="1"/>
  <c r="N32" i="5" s="1"/>
  <c r="N31" i="5"/>
  <c r="L27" i="5"/>
  <c r="L28" i="5" s="1"/>
  <c r="L30" i="5" s="1"/>
  <c r="L32" i="5" s="1"/>
  <c r="L31" i="5"/>
  <c r="H26" i="25" l="1"/>
  <c r="G28" i="25"/>
  <c r="I26" i="25" l="1"/>
  <c r="H28" i="25"/>
  <c r="J26" i="25" l="1"/>
  <c r="I28" i="25"/>
  <c r="J28" i="25" l="1"/>
  <c r="K26" i="25"/>
  <c r="K28" i="25" l="1"/>
  <c r="L26" i="25"/>
  <c r="M26" i="25" l="1"/>
  <c r="L28" i="25"/>
  <c r="N26" i="25" l="1"/>
  <c r="N28" i="25" s="1"/>
  <c r="M28" i="25"/>
  <c r="E27" i="11" l="1"/>
  <c r="E28" i="11" l="1"/>
  <c r="D12" i="7"/>
  <c r="K5" i="11"/>
  <c r="C6" i="10"/>
  <c r="C7" i="10" s="1"/>
  <c r="D40" i="10" s="1"/>
  <c r="H71" i="10" s="1"/>
  <c r="E29" i="11"/>
  <c r="I4" i="11" s="1"/>
  <c r="C9" i="10" s="1"/>
  <c r="D42" i="10" l="1"/>
  <c r="E42" i="10" s="1"/>
  <c r="F42" i="10" s="1"/>
  <c r="G42" i="10" s="1"/>
  <c r="H42" i="10" s="1"/>
  <c r="I42" i="10" s="1"/>
  <c r="J42" i="10" s="1"/>
  <c r="K42" i="10" s="1"/>
  <c r="L42" i="10" s="1"/>
  <c r="M42" i="10" s="1"/>
  <c r="N42" i="10" s="1"/>
  <c r="M24" i="21"/>
  <c r="E24" i="21"/>
  <c r="D24" i="19"/>
  <c r="D24" i="21"/>
  <c r="J24" i="21"/>
  <c r="J24" i="20"/>
  <c r="G24" i="21"/>
  <c r="H24" i="20"/>
  <c r="I24" i="21"/>
  <c r="G24" i="20"/>
  <c r="H24" i="21"/>
  <c r="F24" i="20"/>
  <c r="K24" i="21"/>
  <c r="E24" i="20"/>
  <c r="I24" i="20"/>
  <c r="E24" i="19"/>
  <c r="F24" i="19"/>
  <c r="L24" i="21"/>
  <c r="F24" i="21"/>
  <c r="D24" i="20"/>
  <c r="G24" i="19"/>
  <c r="I6" i="11"/>
  <c r="I23" i="11" s="1"/>
  <c r="I22" i="11" s="1"/>
  <c r="I7" i="11"/>
  <c r="I15" i="11" s="1"/>
  <c r="J22" i="11" l="1"/>
  <c r="H63" i="10"/>
  <c r="N4" i="10"/>
  <c r="O4" i="10"/>
  <c r="M4" i="10"/>
  <c r="I11" i="11"/>
  <c r="J11" i="11" s="1"/>
  <c r="D44" i="10"/>
  <c r="J12" i="11"/>
  <c r="J13" i="11"/>
  <c r="I14" i="11" l="1"/>
  <c r="J20" i="11"/>
  <c r="J23" i="11"/>
  <c r="J19" i="11"/>
  <c r="J21" i="11"/>
  <c r="D28" i="10"/>
  <c r="O42" i="10"/>
  <c r="F54" i="10"/>
  <c r="F56" i="10" s="1"/>
  <c r="F57" i="10" s="1"/>
  <c r="H49" i="10" l="1"/>
  <c r="J14" i="11"/>
  <c r="J15" i="11" s="1"/>
  <c r="E31" i="10"/>
  <c r="D31" i="10"/>
  <c r="D35" i="10"/>
  <c r="H61" i="10"/>
  <c r="H35" i="10" l="1"/>
  <c r="H31" i="10"/>
  <c r="H33" i="10" s="1"/>
  <c r="H34" i="10" s="1"/>
  <c r="E35" i="10"/>
  <c r="E33" i="10"/>
  <c r="E34" i="10" s="1"/>
  <c r="M35" i="10"/>
  <c r="M31" i="10"/>
  <c r="M33" i="10" s="1"/>
  <c r="M34" i="10" s="1"/>
  <c r="N35" i="10"/>
  <c r="N31" i="10"/>
  <c r="N33" i="10" s="1"/>
  <c r="N34" i="10" s="1"/>
  <c r="F35" i="10"/>
  <c r="F31" i="10"/>
  <c r="F33" i="10" s="1"/>
  <c r="F34" i="10" s="1"/>
  <c r="J31" i="10"/>
  <c r="J33" i="10" s="1"/>
  <c r="J34" i="10" s="1"/>
  <c r="J35" i="10"/>
  <c r="H65" i="10"/>
  <c r="I35" i="10"/>
  <c r="I31" i="10"/>
  <c r="I33" i="10" s="1"/>
  <c r="I34" i="10" s="1"/>
  <c r="K35" i="10"/>
  <c r="K31" i="10"/>
  <c r="K33" i="10" s="1"/>
  <c r="K34" i="10" s="1"/>
  <c r="L35" i="10"/>
  <c r="L31" i="10"/>
  <c r="L33" i="10" s="1"/>
  <c r="L34" i="10" s="1"/>
  <c r="G31" i="10"/>
  <c r="G33" i="10" s="1"/>
  <c r="G34" i="10" s="1"/>
  <c r="G35" i="10"/>
  <c r="N7" i="10" l="1"/>
  <c r="O7" i="10"/>
  <c r="M7" i="10"/>
  <c r="N36" i="10"/>
  <c r="N37" i="10" s="1"/>
  <c r="G36" i="10"/>
  <c r="G37" i="10" s="1"/>
  <c r="G44" i="10" s="1"/>
  <c r="I36" i="10"/>
  <c r="I37" i="10" s="1"/>
  <c r="I44" i="10" s="1"/>
  <c r="M36" i="10"/>
  <c r="M37" i="10" s="1"/>
  <c r="M44" i="10" s="1"/>
  <c r="L36" i="10"/>
  <c r="L37" i="10" s="1"/>
  <c r="L44" i="10" s="1"/>
  <c r="E36" i="10"/>
  <c r="E37" i="10" s="1"/>
  <c r="E44" i="10" s="1"/>
  <c r="J36" i="10"/>
  <c r="J37" i="10" s="1"/>
  <c r="J44" i="10" s="1"/>
  <c r="K36" i="10"/>
  <c r="K37" i="10" s="1"/>
  <c r="K44" i="10" s="1"/>
  <c r="F36" i="10"/>
  <c r="F37" i="10" s="1"/>
  <c r="F44" i="10" s="1"/>
  <c r="H36" i="10"/>
  <c r="H37" i="10" s="1"/>
  <c r="H44" i="10" s="1"/>
  <c r="E38" i="10" l="1"/>
  <c r="G38" i="10"/>
  <c r="F38" i="10"/>
  <c r="M38" i="10"/>
  <c r="O71" i="10"/>
  <c r="O51" i="10"/>
  <c r="O63" i="10"/>
  <c r="Q71" i="10"/>
  <c r="Q63" i="10"/>
  <c r="Q51" i="10"/>
  <c r="N51" i="10"/>
  <c r="N63" i="10"/>
  <c r="N71" i="10"/>
  <c r="J38" i="10"/>
  <c r="M71" i="10"/>
  <c r="M63" i="10"/>
  <c r="M51" i="10"/>
  <c r="H38" i="10"/>
  <c r="I71" i="10"/>
  <c r="I63" i="10"/>
  <c r="I51" i="10"/>
  <c r="I38" i="10"/>
  <c r="L71" i="10"/>
  <c r="L51" i="10"/>
  <c r="L63" i="10"/>
  <c r="K51" i="10"/>
  <c r="K71" i="10"/>
  <c r="K63" i="10"/>
  <c r="J71" i="10"/>
  <c r="J51" i="10"/>
  <c r="J63" i="10"/>
  <c r="P63" i="10"/>
  <c r="P71" i="10"/>
  <c r="P51" i="10"/>
  <c r="K38" i="10"/>
  <c r="L38" i="10"/>
  <c r="N38" i="10"/>
  <c r="O38" i="10" l="1"/>
  <c r="J52" i="10"/>
  <c r="J53" i="10" s="1"/>
  <c r="J54" i="10" s="1"/>
  <c r="L64" i="10"/>
  <c r="L65" i="10" s="1"/>
  <c r="L66" i="10" s="1"/>
  <c r="N64" i="10"/>
  <c r="N65" i="10" s="1"/>
  <c r="N66" i="10" s="1"/>
  <c r="O64" i="10"/>
  <c r="O65" i="10" s="1"/>
  <c r="O66" i="10" s="1"/>
  <c r="L52" i="10"/>
  <c r="L53" i="10" s="1"/>
  <c r="L54" i="10" s="1"/>
  <c r="Q52" i="10"/>
  <c r="Q53" i="10" s="1"/>
  <c r="Q54" i="10" s="1"/>
  <c r="M52" i="10"/>
  <c r="M53" i="10" s="1"/>
  <c r="M54" i="10" s="1"/>
  <c r="Q64" i="10"/>
  <c r="Q65" i="10" s="1"/>
  <c r="Q66" i="10" s="1"/>
  <c r="P52" i="10"/>
  <c r="P53" i="10" s="1"/>
  <c r="P54" i="10" s="1"/>
  <c r="K64" i="10"/>
  <c r="K65" i="10" s="1"/>
  <c r="K66" i="10" s="1"/>
  <c r="M64" i="10"/>
  <c r="M65" i="10" s="1"/>
  <c r="M66" i="10" s="1"/>
  <c r="I52" i="10"/>
  <c r="I53" i="10" s="1"/>
  <c r="P64" i="10"/>
  <c r="P65" i="10" s="1"/>
  <c r="P66" i="10" s="1"/>
  <c r="K52" i="10"/>
  <c r="K53" i="10" s="1"/>
  <c r="K54" i="10" s="1"/>
  <c r="I64" i="10"/>
  <c r="I65" i="10" s="1"/>
  <c r="O52" i="10"/>
  <c r="O53" i="10" s="1"/>
  <c r="O54" i="10" s="1"/>
  <c r="N52" i="10"/>
  <c r="N53" i="10" s="1"/>
  <c r="N54" i="10" s="1"/>
  <c r="J64" i="10"/>
  <c r="J65" i="10" s="1"/>
  <c r="J66" i="10" s="1"/>
  <c r="O44" i="10" l="1"/>
  <c r="N44" i="10" s="1"/>
  <c r="I54" i="10"/>
  <c r="I66" i="10"/>
  <c r="C46" i="10" l="1"/>
  <c r="C48" i="10" s="1"/>
  <c r="R63" i="10"/>
  <c r="I69" i="10" s="1"/>
  <c r="C47" i="10"/>
  <c r="R71" i="10"/>
  <c r="C51" i="10" s="1"/>
  <c r="R51" i="10"/>
  <c r="C50" i="10"/>
  <c r="C52" i="10" s="1"/>
  <c r="R67" i="10" l="1"/>
  <c r="I56" i="10"/>
  <c r="R55" i="10"/>
  <c r="R52" i="10"/>
  <c r="R53" i="10" s="1"/>
  <c r="H57" i="10" s="1"/>
  <c r="I57" i="10"/>
  <c r="I68" i="10"/>
  <c r="R64" i="10"/>
  <c r="R65" i="10" s="1"/>
  <c r="H69" i="10" l="1"/>
  <c r="R68" i="10"/>
  <c r="H68" i="10"/>
  <c r="R56" i="10"/>
  <c r="H56" i="10"/>
  <c r="K7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<sst xmlns="http://schemas.openxmlformats.org/spreadsheetml/2006/main" count="1327" uniqueCount="578">
  <si>
    <t>Total Cost</t>
  </si>
  <si>
    <t xml:space="preserve">Exit Valuation </t>
  </si>
  <si>
    <t>Cost of Capital</t>
  </si>
  <si>
    <t>PHASE IRR</t>
  </si>
  <si>
    <t>Underwriting Assumptions</t>
  </si>
  <si>
    <t xml:space="preserve">Land </t>
  </si>
  <si>
    <t>Cap Rate</t>
  </si>
  <si>
    <t>Valuation</t>
  </si>
  <si>
    <t>Loan</t>
  </si>
  <si>
    <t>Phase I</t>
  </si>
  <si>
    <t>Phase II</t>
  </si>
  <si>
    <t>Phase III</t>
  </si>
  <si>
    <t>2019 RSMeans City Cost Index</t>
  </si>
  <si>
    <t>Building</t>
  </si>
  <si>
    <t>Retail</t>
  </si>
  <si>
    <t>Equity</t>
  </si>
  <si>
    <t>Development Costs</t>
  </si>
  <si>
    <t>Building Efficiency</t>
  </si>
  <si>
    <t>gross sq ft/net rental of the building</t>
  </si>
  <si>
    <t>Parking</t>
  </si>
  <si>
    <t>Housing</t>
  </si>
  <si>
    <t>Cost of Debt</t>
  </si>
  <si>
    <t xml:space="preserve">Unlevered IRR </t>
  </si>
  <si>
    <t>Vacany Rate</t>
  </si>
  <si>
    <t>Expense (soft and equipment)</t>
  </si>
  <si>
    <t>Office</t>
  </si>
  <si>
    <t>Cost of Equity</t>
  </si>
  <si>
    <t>Levered IRR</t>
  </si>
  <si>
    <t>Residential Rent GrowthExpense inflation</t>
  </si>
  <si>
    <t>From Cost Spreadsheet</t>
  </si>
  <si>
    <t>Event Space</t>
  </si>
  <si>
    <t>WACC</t>
  </si>
  <si>
    <t>Equity Multiple</t>
  </si>
  <si>
    <t>Residentail Cap Rate</t>
  </si>
  <si>
    <t>EBITDA Margin</t>
  </si>
  <si>
    <t>Property Value Increase</t>
  </si>
  <si>
    <t xml:space="preserve">Perm Loan Balance </t>
  </si>
  <si>
    <t>Total</t>
  </si>
  <si>
    <t>Comercial Cap Rate</t>
  </si>
  <si>
    <r>
      <rPr>
        <b/>
        <sz val="14"/>
        <color rgb="FFFFFFFF"/>
        <rFont val="Arial"/>
        <family val="2"/>
      </rPr>
      <t>Operations</t>
    </r>
  </si>
  <si>
    <t>Gross Rental Income</t>
  </si>
  <si>
    <t>Vancancy</t>
  </si>
  <si>
    <t>Net Rental Income</t>
  </si>
  <si>
    <t>CAM (Utilities/Trash)</t>
  </si>
  <si>
    <r>
      <rPr>
        <b/>
        <sz val="10"/>
        <rFont val="Arial"/>
        <family val="2"/>
      </rPr>
      <t>Effective Gross Income</t>
    </r>
  </si>
  <si>
    <r>
      <rPr>
        <b/>
        <sz val="10"/>
        <rFont val="Arial"/>
        <family val="2"/>
      </rPr>
      <t xml:space="preserve">Controllable Expenses
</t>
    </r>
    <r>
      <rPr>
        <sz val="10"/>
        <rFont val="Arial"/>
        <family val="2"/>
      </rPr>
      <t>Real Estate Taxes</t>
    </r>
  </si>
  <si>
    <t>CAM Expenses</t>
  </si>
  <si>
    <t xml:space="preserve">Real Estate Tax </t>
  </si>
  <si>
    <t>Reserves @ 4%</t>
  </si>
  <si>
    <r>
      <rPr>
        <sz val="10"/>
        <rFont val="Arial"/>
        <family val="2"/>
      </rPr>
      <t>Insurance</t>
    </r>
  </si>
  <si>
    <t xml:space="preserve">Management Fee </t>
  </si>
  <si>
    <r>
      <rPr>
        <b/>
        <sz val="10"/>
        <rFont val="Arial"/>
        <family val="2"/>
      </rPr>
      <t>Total Operating Expenses</t>
    </r>
  </si>
  <si>
    <r>
      <rPr>
        <b/>
        <sz val="10"/>
        <rFont val="Arial"/>
        <family val="2"/>
      </rPr>
      <t>Net Operating Income</t>
    </r>
  </si>
  <si>
    <t>Intrest Expesne</t>
  </si>
  <si>
    <t>Depreciation 39 years</t>
  </si>
  <si>
    <t xml:space="preserve">TIA Deprecation </t>
  </si>
  <si>
    <t>Net Income</t>
  </si>
  <si>
    <t>equity mutiple</t>
  </si>
  <si>
    <t>Personal Income Tax Distributions</t>
  </si>
  <si>
    <t>Free Cashflow</t>
  </si>
  <si>
    <t>Principal Reduction</t>
  </si>
  <si>
    <t xml:space="preserve">Fixed Charges (interest only) </t>
  </si>
  <si>
    <t>Fixed Charge Coverage</t>
  </si>
  <si>
    <t xml:space="preserve">Avail for Distribution (1x excess) </t>
  </si>
  <si>
    <t>Total Reserves and Equity Build</t>
  </si>
  <si>
    <t>Equity Build</t>
  </si>
  <si>
    <t>Reserves Fund</t>
  </si>
  <si>
    <t xml:space="preserve">Reserves Paid to buyer </t>
  </si>
  <si>
    <t>Total Construction Costs</t>
  </si>
  <si>
    <t>TIFF Funding</t>
  </si>
  <si>
    <t>Constuction Loan Balance</t>
  </si>
  <si>
    <t>Constuctin Loan Balance</t>
  </si>
  <si>
    <t>Exit Value</t>
  </si>
  <si>
    <t>Equity Holders Funding</t>
  </si>
  <si>
    <t>Exit Cash to Equity Holders</t>
  </si>
  <si>
    <t>NPV of Cash Flow w/ Financing</t>
  </si>
  <si>
    <t>IRR</t>
  </si>
  <si>
    <t>Return on Equity w/ Financing</t>
  </si>
  <si>
    <t xml:space="preserve"> Equity Returns</t>
  </si>
  <si>
    <t>% of Equity</t>
  </si>
  <si>
    <t>NPV w/out Financing</t>
  </si>
  <si>
    <t>Cashflows</t>
  </si>
  <si>
    <t>IRR w/out Financing</t>
  </si>
  <si>
    <t>Return on Equity w/out financing</t>
  </si>
  <si>
    <t>Taxes</t>
  </si>
  <si>
    <t xml:space="preserve">Total after tax </t>
  </si>
  <si>
    <t>Total Perm Loan</t>
  </si>
  <si>
    <t>ROE</t>
  </si>
  <si>
    <t>Component Loans</t>
  </si>
  <si>
    <t>After Income Tax</t>
  </si>
  <si>
    <t>Prior to Tax</t>
  </si>
  <si>
    <t>Difference</t>
  </si>
  <si>
    <t>NPV</t>
  </si>
  <si>
    <t>Ann Int on Diff</t>
  </si>
  <si>
    <t>Limited Prefered Equity Returns</t>
  </si>
  <si>
    <t>Hard Costs</t>
  </si>
  <si>
    <t>Sources-Uses</t>
  </si>
  <si>
    <t>Sources</t>
  </si>
  <si>
    <t>Uses</t>
  </si>
  <si>
    <t>Land</t>
  </si>
  <si>
    <t>Construction Loan</t>
  </si>
  <si>
    <t>Hard Cost</t>
  </si>
  <si>
    <t>Demolition</t>
  </si>
  <si>
    <t xml:space="preserve">$8 per sq ft. </t>
  </si>
  <si>
    <t>Tiff Funding</t>
  </si>
  <si>
    <t>Soft Cost</t>
  </si>
  <si>
    <t>Site Work</t>
  </si>
  <si>
    <t>Total Sources:</t>
  </si>
  <si>
    <t>Total Uses:</t>
  </si>
  <si>
    <t xml:space="preserve">Building </t>
  </si>
  <si>
    <t>Tenant Improvements</t>
  </si>
  <si>
    <t xml:space="preserve">Total </t>
  </si>
  <si>
    <t>Captial Stack</t>
  </si>
  <si>
    <t>Soft Costs</t>
  </si>
  <si>
    <t>TIF</t>
  </si>
  <si>
    <t>CHCURC Equity</t>
  </si>
  <si>
    <t>Architectural</t>
  </si>
  <si>
    <t>Equity (other)</t>
  </si>
  <si>
    <t>Civil Engineering</t>
  </si>
  <si>
    <t>N/A</t>
  </si>
  <si>
    <t>included in E14</t>
  </si>
  <si>
    <t>Title &amp; Legal</t>
  </si>
  <si>
    <t>Engineering Studies</t>
  </si>
  <si>
    <t xml:space="preserve">Geo </t>
  </si>
  <si>
    <t>Environmental Condition</t>
  </si>
  <si>
    <t>Environmental</t>
  </si>
  <si>
    <t>Contamination</t>
  </si>
  <si>
    <t>Others</t>
  </si>
  <si>
    <t xml:space="preserve">Stormwater Pollution </t>
  </si>
  <si>
    <t>Financing Costs</t>
  </si>
  <si>
    <t>Roil Removal</t>
  </si>
  <si>
    <t>15bps</t>
  </si>
  <si>
    <t>Const Loan Fee</t>
  </si>
  <si>
    <t>Common Equity</t>
  </si>
  <si>
    <t>L+350</t>
  </si>
  <si>
    <t>Const Loan Interest</t>
  </si>
  <si>
    <t>Prmnt Loan Fee</t>
  </si>
  <si>
    <t>Contingency</t>
  </si>
  <si>
    <t>e10*.03</t>
  </si>
  <si>
    <t>Developer Fee</t>
  </si>
  <si>
    <t xml:space="preserve">Government Grants </t>
  </si>
  <si>
    <t>amount</t>
  </si>
  <si>
    <t>Total Soft Costs</t>
  </si>
  <si>
    <t>Program</t>
  </si>
  <si>
    <t>Insurance</t>
  </si>
  <si>
    <t>CDBG</t>
  </si>
  <si>
    <t>Total Costs</t>
  </si>
  <si>
    <t>89000000</t>
  </si>
  <si>
    <t>Housing and community devo</t>
  </si>
  <si>
    <t>affordable-housing mkt</t>
  </si>
  <si>
    <t>State park development</t>
  </si>
  <si>
    <t>Demolition Cost</t>
  </si>
  <si>
    <t>Outdoor Equity Program</t>
  </si>
  <si>
    <t>Rural Recreation and Tourism</t>
  </si>
  <si>
    <t xml:space="preserve">per sq ft. </t>
  </si>
  <si>
    <t xml:space="preserve">Golden State Acquistion Fund </t>
  </si>
  <si>
    <t>Phase</t>
  </si>
  <si>
    <t xml:space="preserve">Notice of funding (NOFA) </t>
  </si>
  <si>
    <t>estimate</t>
  </si>
  <si>
    <t>sq.ft</t>
  </si>
  <si>
    <t>RIRE</t>
  </si>
  <si>
    <t xml:space="preserve">Operating City Property </t>
  </si>
  <si>
    <t>TIF Funding Oakland A's</t>
  </si>
  <si>
    <t>PAF Funding</t>
  </si>
  <si>
    <t>Local Gov't Fund</t>
  </si>
  <si>
    <t>yearly</t>
  </si>
  <si>
    <t>Justice Department Grant</t>
  </si>
  <si>
    <t>Federal Gov't Fund</t>
  </si>
  <si>
    <t>SQ FT BY PHASE</t>
  </si>
  <si>
    <t>YELLOW HIGHLIGHT=RENOVATION OF EXISTING</t>
  </si>
  <si>
    <t>EXISTING</t>
  </si>
  <si>
    <t>PHASE I</t>
  </si>
  <si>
    <t>PHASE 2</t>
  </si>
  <si>
    <t>PHASE 3</t>
  </si>
  <si>
    <t>BEYOND 10YR</t>
  </si>
  <si>
    <t>2022-2023</t>
  </si>
  <si>
    <t>2033+</t>
  </si>
  <si>
    <t>TOTALS</t>
  </si>
  <si>
    <t>Total Market Rate Housing</t>
  </si>
  <si>
    <t>Market-Rate Rental Housing</t>
  </si>
  <si>
    <t>SF</t>
  </si>
  <si>
    <t>Total Affordable Housing</t>
  </si>
  <si>
    <t>Affordable Rental Housing</t>
  </si>
  <si>
    <t>% of Housing that is Affordable (Minimum 20%)</t>
  </si>
  <si>
    <t>Office/Commercial</t>
  </si>
  <si>
    <t>Rooftop Spaces</t>
  </si>
  <si>
    <t>Required Parking Without Public Transit Subtraction</t>
  </si>
  <si>
    <t>Hotel</t>
  </si>
  <si>
    <t>30% Reduction Transit oriented development (TOD) Per section 17.116.110</t>
  </si>
  <si>
    <t>Structured Parking</t>
  </si>
  <si>
    <t>20% Reduction for Providing Designated Ride Share Spaces. Per section 17.116.110</t>
  </si>
  <si>
    <t># parking spots</t>
  </si>
  <si>
    <t>Required Parking Spaces</t>
  </si>
  <si>
    <t>Surface Parking</t>
  </si>
  <si>
    <t>Total Provided Parking Spaces</t>
  </si>
  <si>
    <t>Designated Ride Share Spaces Per section 17.116.110</t>
  </si>
  <si>
    <t>Flex Surface Parking</t>
  </si>
  <si>
    <t xml:space="preserve">Total Parking </t>
  </si>
  <si>
    <t># Total Parking Spaces</t>
  </si>
  <si>
    <t>Garage Renovation</t>
  </si>
  <si>
    <t>Remediation</t>
  </si>
  <si>
    <t>CF</t>
  </si>
  <si>
    <t>BASEBALL STADIUM BUILT</t>
  </si>
  <si>
    <t>ITEMS WE WANT TO HAVE PAID FOR BY GOV. PROGRAMS</t>
  </si>
  <si>
    <t>BART Station</t>
  </si>
  <si>
    <t>Bus Transit Hub</t>
  </si>
  <si>
    <t>Existing Public Park</t>
  </si>
  <si>
    <t>Misc. Public Space</t>
  </si>
  <si>
    <t>Misc. Enclosed</t>
  </si>
  <si>
    <t>Open Market</t>
  </si>
  <si>
    <t>Enclosed Market</t>
  </si>
  <si>
    <t>Park Space</t>
  </si>
  <si>
    <t>Amphitheater</t>
  </si>
  <si>
    <t>Community Garden</t>
  </si>
  <si>
    <t>Green Ballpark street</t>
  </si>
  <si>
    <t>DEMOLITION SQ FT ADD UP</t>
  </si>
  <si>
    <t>TOTAL</t>
  </si>
  <si>
    <t>PARKING REQUIREMENTS</t>
  </si>
  <si>
    <t>SF Residential</t>
  </si>
  <si>
    <t>space per 1000sf</t>
  </si>
  <si>
    <t>SF Affordable Housing</t>
  </si>
  <si>
    <t>1/2 of a space per affordable dwelling unit in a TOD is per section 17.116.110 Provision B.1</t>
  </si>
  <si>
    <t>SF Office</t>
  </si>
  <si>
    <t>spaces per 1000sf</t>
  </si>
  <si>
    <t>SF Retail</t>
  </si>
  <si>
    <t>SF Hotel</t>
  </si>
  <si>
    <t>SF Outdoor Public Space</t>
  </si>
  <si>
    <t>SF Amphitheater</t>
  </si>
  <si>
    <t>SF Park Green Space</t>
  </si>
  <si>
    <t>SF Enclosed Retail Stalls</t>
  </si>
  <si>
    <t>SF Park Garden</t>
  </si>
  <si>
    <t>Required Parking Without Public Transit Reduction</t>
  </si>
  <si>
    <t>20% Reduction for Providing Designated Ride Share Spaces</t>
  </si>
  <si>
    <t>Required Parking</t>
  </si>
  <si>
    <t>Required Parking to be Provided</t>
  </si>
  <si>
    <t>Provided Parking</t>
  </si>
  <si>
    <t>Planned Parking</t>
  </si>
  <si>
    <t>Item</t>
  </si>
  <si>
    <t>Assignment</t>
  </si>
  <si>
    <t>Measurement type</t>
  </si>
  <si>
    <t>Measurement</t>
  </si>
  <si>
    <t>Price / measurement</t>
  </si>
  <si>
    <t>Total cost</t>
  </si>
  <si>
    <t>Market-Rate Housing</t>
  </si>
  <si>
    <t>Infastructure</t>
  </si>
  <si>
    <t>Surface area, PSF</t>
  </si>
  <si>
    <t>Affordable Housing</t>
  </si>
  <si>
    <t xml:space="preserve">Retail </t>
  </si>
  <si>
    <t>Rooftap Parking</t>
  </si>
  <si>
    <t>Bart Station</t>
  </si>
  <si>
    <t>Assumptions</t>
  </si>
  <si>
    <t>Total Residential Square Footage Per Floor</t>
  </si>
  <si>
    <t>Costs</t>
  </si>
  <si>
    <t>Total Retail / Office Square Footage Per Floor</t>
  </si>
  <si>
    <t>Total Floors</t>
  </si>
  <si>
    <t>Real Estate Taxes to Infrastructure</t>
  </si>
  <si>
    <t>Total Square Footage</t>
  </si>
  <si>
    <t>Real Estate Taxes to TIFF</t>
  </si>
  <si>
    <t>Tax abatement 30 years - financing of garage</t>
  </si>
  <si>
    <t>Reserves</t>
  </si>
  <si>
    <t>Market Housing</t>
  </si>
  <si>
    <t xml:space="preserve">Depreciation Building </t>
  </si>
  <si>
    <t xml:space="preserve">Depreciaiton TIA </t>
  </si>
  <si>
    <t>Square Footage Per Apartment</t>
  </si>
  <si>
    <t>CAM $ Per Square Foot</t>
  </si>
  <si>
    <t>Number of Apartments</t>
  </si>
  <si>
    <t>Insurance Factor Of Value</t>
  </si>
  <si>
    <t>~Number of Bedrooms</t>
  </si>
  <si>
    <t>Construction Cost Per Square Foot</t>
  </si>
  <si>
    <t>CAM (Common Area Maintanence) Per Bedroom</t>
  </si>
  <si>
    <t>Land and Soft Cost Per Square Foot</t>
  </si>
  <si>
    <t>TIA per unit</t>
  </si>
  <si>
    <t>CM Fees</t>
  </si>
  <si>
    <t>Total TIA</t>
  </si>
  <si>
    <t>Year 1 Rent Per bed</t>
  </si>
  <si>
    <t>Loan Assumption</t>
  </si>
  <si>
    <t>TIA - tenant improvement allowance</t>
  </si>
  <si>
    <t xml:space="preserve">Appt Vacancy </t>
  </si>
  <si>
    <t>Stabilized Loan to Value</t>
  </si>
  <si>
    <t>Increases</t>
  </si>
  <si>
    <t xml:space="preserve">Rate L+300 (l floor .50) </t>
  </si>
  <si>
    <t>Lease up (years)</t>
  </si>
  <si>
    <t>Amortization 25yrs</t>
  </si>
  <si>
    <t>Term 10 yrs</t>
  </si>
  <si>
    <t>Management Fee</t>
  </si>
  <si>
    <t>Average Property Taxes (Annually)</t>
  </si>
  <si>
    <t>Building Equity</t>
  </si>
  <si>
    <t xml:space="preserve">Property Value Increase </t>
  </si>
  <si>
    <t>Tax Distributions</t>
  </si>
  <si>
    <t>Average Rent Per Square Foot</t>
  </si>
  <si>
    <t>Aveage TIA Per Square Foot</t>
  </si>
  <si>
    <t>&lt;-Property Tax Rate…  .73%</t>
  </si>
  <si>
    <t>CAM Per Square Foot</t>
  </si>
  <si>
    <t>264,000 Square Feet</t>
  </si>
  <si>
    <t>600m total</t>
  </si>
  <si>
    <t>Vacancy Rate</t>
  </si>
  <si>
    <t>$250 Per Foot</t>
  </si>
  <si>
    <t>Lease Up (years)</t>
  </si>
  <si>
    <t>Total Construction</t>
  </si>
  <si>
    <t>Park</t>
  </si>
  <si>
    <t>AVG Rent Per SF</t>
  </si>
  <si>
    <t>Park Square Footage</t>
  </si>
  <si>
    <t>AVG TIA Per SF</t>
  </si>
  <si>
    <t>Miscellanous Space Square Footage</t>
  </si>
  <si>
    <t>Public Miscellanous Space Square Footage</t>
  </si>
  <si>
    <t>CAM (NNN) SF</t>
  </si>
  <si>
    <t>CAM Per Bedroom</t>
  </si>
  <si>
    <t>Annual Increases</t>
  </si>
  <si>
    <t xml:space="preserve">Vacancy </t>
  </si>
  <si>
    <t>TIA Per Square Foot</t>
  </si>
  <si>
    <t>Construction Costs</t>
  </si>
  <si>
    <t>5 year Lease Increase</t>
  </si>
  <si>
    <t>Price Per 1500 sq ft</t>
  </si>
  <si>
    <t>Year 1 Rent Per Bedroom</t>
  </si>
  <si>
    <t>Cost-To-Build</t>
  </si>
  <si>
    <t>Total SF</t>
  </si>
  <si>
    <t>Avg Rent Per SF</t>
  </si>
  <si>
    <t>AVG TIA per SF</t>
  </si>
  <si>
    <t>Square Footage Per Room</t>
  </si>
  <si>
    <t>Vacancy</t>
  </si>
  <si>
    <t>Number of Rooms</t>
  </si>
  <si>
    <t>5 year lease Increase</t>
  </si>
  <si>
    <t>Price Per Square Foot</t>
  </si>
  <si>
    <t xml:space="preserve">Lease Up (years) </t>
  </si>
  <si>
    <t>CAM Per Room</t>
  </si>
  <si>
    <t>Transit</t>
  </si>
  <si>
    <t>TIA Per Unit</t>
  </si>
  <si>
    <t>Constuction cost $100 PSF</t>
  </si>
  <si>
    <t xml:space="preserve">Management </t>
  </si>
  <si>
    <t>Square Footage Per Parking Space</t>
  </si>
  <si>
    <t>Total Spots</t>
  </si>
  <si>
    <t>Unreserved Parking Passes</t>
  </si>
  <si>
    <t>Annual Monthly Parking</t>
  </si>
  <si>
    <t>Annual Transient Parking</t>
  </si>
  <si>
    <t>Annual Event Parking</t>
  </si>
  <si>
    <t xml:space="preserve">Total Annual Parking </t>
  </si>
  <si>
    <t>Management Per Space</t>
  </si>
  <si>
    <t>Cost Per Space</t>
  </si>
  <si>
    <t>Annual Management Cost</t>
  </si>
  <si>
    <t>Estimated Revenue</t>
  </si>
  <si>
    <t>Monthly Parking Category</t>
  </si>
  <si>
    <t>Rate</t>
  </si>
  <si>
    <t>Quantity</t>
  </si>
  <si>
    <t>Monthly</t>
  </si>
  <si>
    <t>Annual</t>
  </si>
  <si>
    <t>Monthly Parking</t>
  </si>
  <si>
    <t>Residential</t>
  </si>
  <si>
    <t>Public</t>
  </si>
  <si>
    <t xml:space="preserve">Estimated Monthly Parking Revenue :  </t>
  </si>
  <si>
    <t>Transient Category</t>
  </si>
  <si>
    <t>Avg Rate</t>
  </si>
  <si>
    <t>Transient Parking</t>
  </si>
  <si>
    <t>Garage</t>
  </si>
  <si>
    <t>Daily Parking Max Rate</t>
  </si>
  <si>
    <t>Average Daily Rate Tickets</t>
  </si>
  <si>
    <t>Estimated Transient Revenue(Provided)</t>
  </si>
  <si>
    <t>Event Category</t>
  </si>
  <si>
    <t>Event Parking</t>
  </si>
  <si>
    <t xml:space="preserve">Event Parking </t>
  </si>
  <si>
    <t>Totals</t>
  </si>
  <si>
    <t xml:space="preserve">Estimated Monthly Parking Revenue:  </t>
  </si>
  <si>
    <t xml:space="preserve">Estimated Transient Parking Revenue:  </t>
  </si>
  <si>
    <t>LAND VALUE SUMMARY</t>
  </si>
  <si>
    <t>ESTIMATED LAND VALUE OF 4-BLOCK COMPETITION SITE</t>
  </si>
  <si>
    <t>LAND VALUE OF ADDITIONAL PARCELS</t>
  </si>
  <si>
    <t>OVERALL LAND VALUE FOR DEVELOPMENT SITES</t>
  </si>
  <si>
    <t>ITEMIZED LAND VALUES RELATED TO DEVELOPMENT</t>
  </si>
  <si>
    <t>SITE</t>
  </si>
  <si>
    <t>APN</t>
  </si>
  <si>
    <t>PARCEL</t>
  </si>
  <si>
    <t>Imps</t>
  </si>
  <si>
    <t>TotalNetVa</t>
  </si>
  <si>
    <t>UseCode</t>
  </si>
  <si>
    <t>SitusAddre</t>
  </si>
  <si>
    <t>Area in Acres</t>
  </si>
  <si>
    <t>CURRENT 'AS-IS' MARKET VALUE OF THE COMPETITION SITE IS EVALUATED AT $78 PER SQUARE FOOT. (BASED ON SURROUNDING LAND VALUE.)</t>
  </si>
  <si>
    <t>1-213-1</t>
  </si>
  <si>
    <t xml:space="preserve"> 7TH ST OAKLAND 94607</t>
  </si>
  <si>
    <t>1-207-11</t>
  </si>
  <si>
    <t>550 6TH ST OAKLAND 94607</t>
  </si>
  <si>
    <t>1-205-13</t>
  </si>
  <si>
    <t>661 WASHINGTON ST OAKLAND 94607</t>
  </si>
  <si>
    <t>1-199-1</t>
  </si>
  <si>
    <t xml:space="preserve"> - </t>
  </si>
  <si>
    <t>620 WASHINGTON ST OAKLAND 94607</t>
  </si>
  <si>
    <t>COUNTY SITES</t>
  </si>
  <si>
    <t>COUNTY OWNED LOTS ON BLOCKS 137 AND 139 ARE EVALUATED AT $68 PER SQUARE FOOT (BASED ON SURROUNDING LAND VALUE.)</t>
  </si>
  <si>
    <t>1-137-1-2</t>
  </si>
  <si>
    <t>499 5TH ST OAKLAND 94607</t>
  </si>
  <si>
    <t>1-137-1-1</t>
  </si>
  <si>
    <t>401 BROADWAY OAKLAND 94607</t>
  </si>
  <si>
    <t>1-139-1</t>
  </si>
  <si>
    <t>430 BROADWAY OAKLAND 94607</t>
  </si>
  <si>
    <t>CALTRAN</t>
  </si>
  <si>
    <t>Area in Square Kilometers</t>
  </si>
  <si>
    <t>CALTRAN OWNED LOTS UNDER HIGHWAY WILL BE LEASED FOR $1.00/YEAR PER THE INCLUDED AGGREEMENT.</t>
  </si>
  <si>
    <t>1-129-9-1</t>
  </si>
  <si>
    <t>578 4TH ST OAKLAND 94607</t>
  </si>
  <si>
    <t>1-131-8-1</t>
  </si>
  <si>
    <t>522 4TH ST OAKLAND 94607</t>
  </si>
  <si>
    <t>1-215-9</t>
  </si>
  <si>
    <t>625 M L KING JR WAY OAKLAND 94607</t>
  </si>
  <si>
    <t>1-215-19-1</t>
  </si>
  <si>
    <t>668 6TH AVE OAKLAND 94606</t>
  </si>
  <si>
    <t>1-215-7</t>
  </si>
  <si>
    <t>659 7TH ST OAKLAND 94607</t>
  </si>
  <si>
    <t>MISC. PARCELS</t>
  </si>
  <si>
    <t>1-211-15-1</t>
  </si>
  <si>
    <t>711 JEFFERSON ST OAKLAND 94607</t>
  </si>
  <si>
    <t>PARCEL 1-211-15-1 WILL BE SUBDIVIDED WITH THE NEW DESTINY CHURCH. THEREFORE COST IS 3/4 OF THE PARCEL COST. PARKING ACCESS WILL BE PROVIDED IN THE DEVELOPMENT FOR THE CHURCH.</t>
  </si>
  <si>
    <t>(1-211-15-1) LAND VALUE REDUCED TO 3/4 OF PARCEL DUE TO SUBDIVISION</t>
  </si>
  <si>
    <t>1-191-7-1</t>
  </si>
  <si>
    <t>605 WEBSTER ST OAKLAND 94607</t>
  </si>
  <si>
    <t>1-215-8</t>
  </si>
  <si>
    <t>653 7TH ST OAKLAND 94607</t>
  </si>
  <si>
    <t>BLOCK 129</t>
  </si>
  <si>
    <t>1-129-7-1</t>
  </si>
  <si>
    <t>555 5TH ST OAKLAND 94607</t>
  </si>
  <si>
    <t>1-129-19</t>
  </si>
  <si>
    <t>567 5TH ST OAKLAND 94607</t>
  </si>
  <si>
    <t>1-129-22</t>
  </si>
  <si>
    <t>593 5TH ST OAKLAND 94607</t>
  </si>
  <si>
    <t>1-129-17</t>
  </si>
  <si>
    <t>577 5TH ST OAKLAND 94607</t>
  </si>
  <si>
    <t>1-129-18</t>
  </si>
  <si>
    <t>571 5TH ST OAKLAND 94607</t>
  </si>
  <si>
    <t>1-129-21</t>
  </si>
  <si>
    <t>422 JEFFERSON ST OAKLAND 94607</t>
  </si>
  <si>
    <t>1-129-20</t>
  </si>
  <si>
    <t>418 JEFFERSON ST OAKLAND 94607</t>
  </si>
  <si>
    <t>1-129-16</t>
  </si>
  <si>
    <t>581 5TH ST OAKLAND 94607</t>
  </si>
  <si>
    <t>BLOCK 234</t>
  </si>
  <si>
    <t>1-234-3</t>
  </si>
  <si>
    <t>1-234-4</t>
  </si>
  <si>
    <t>629 FRANKLIN ST OAKLAND 94607</t>
  </si>
  <si>
    <t>1-234-5</t>
  </si>
  <si>
    <t xml:space="preserve"> FRANKLIN ST OAKLAND 94607</t>
  </si>
  <si>
    <t>BLOCK 209</t>
  </si>
  <si>
    <t>1-209-15</t>
  </si>
  <si>
    <t>578 7TH ST OAKLAND 94607</t>
  </si>
  <si>
    <t>1-209-11</t>
  </si>
  <si>
    <t>729 CLAY ST OAKLAND 94607</t>
  </si>
  <si>
    <t>1-209-10</t>
  </si>
  <si>
    <t>561 8TH ST OAKLAND 94607</t>
  </si>
  <si>
    <t>1-209-9</t>
  </si>
  <si>
    <t>575 8TH ST OAKLAND 94607</t>
  </si>
  <si>
    <t>1-209-14-1</t>
  </si>
  <si>
    <t>701 CLAY ST OAKLAND 94607</t>
  </si>
  <si>
    <t>1-209-17</t>
  </si>
  <si>
    <t>710 JEFFERSON ST OAKLAND 94607</t>
  </si>
  <si>
    <t>1-209-18</t>
  </si>
  <si>
    <t>718 JEFFERSON ST OAKLAND 94607</t>
  </si>
  <si>
    <t>1-209-7</t>
  </si>
  <si>
    <t>722 JEFFERSON ST OAKLAND 94607</t>
  </si>
  <si>
    <t>1-209-5</t>
  </si>
  <si>
    <t>593 8TH ST OAKLAND 94607</t>
  </si>
  <si>
    <t>1-209-8-1</t>
  </si>
  <si>
    <t>585 8TH ST OAKLAND 94607</t>
  </si>
  <si>
    <t>1-209-16</t>
  </si>
  <si>
    <t>598 7TH ST OAKLAND 94607</t>
  </si>
  <si>
    <t>BLOCK 201</t>
  </si>
  <si>
    <t>1-201-16</t>
  </si>
  <si>
    <t>458 7TH ST OAKLAND 94607</t>
  </si>
  <si>
    <t>1-201-18</t>
  </si>
  <si>
    <t>478 7TH ST OAKLAND 94607</t>
  </si>
  <si>
    <t>1-201-19</t>
  </si>
  <si>
    <t>700 WASHINGTON ST OAKLAND 94607</t>
  </si>
  <si>
    <t>1-201-17</t>
  </si>
  <si>
    <t>464 7TH ST OAKLAND 94607</t>
  </si>
  <si>
    <t>BLOACK 145</t>
  </si>
  <si>
    <t>1-145-1</t>
  </si>
  <si>
    <t>440 FRANKLIN ST OAKLAND 94607</t>
  </si>
  <si>
    <t>1-145-3</t>
  </si>
  <si>
    <t>377 5TH ST OAKLAND 94607</t>
  </si>
  <si>
    <t>1-145-2</t>
  </si>
  <si>
    <t>381 5TH ST OAKLAND 94607</t>
  </si>
  <si>
    <t>1-145-5</t>
  </si>
  <si>
    <t>400 FRANKLIN ST OAKLAND 94607</t>
  </si>
  <si>
    <t>BLOCK 123</t>
  </si>
  <si>
    <t>1-123-1</t>
  </si>
  <si>
    <t>424 M L KING JR WAY OAKLAND 94607</t>
  </si>
  <si>
    <t>1-123-2</t>
  </si>
  <si>
    <t>433 JEFFERSON ST OAKLAND 94607</t>
  </si>
  <si>
    <t>TIF Break Even Analysis</t>
  </si>
  <si>
    <t>Tiff Tax Payments</t>
  </si>
  <si>
    <t>TIFF Financing</t>
  </si>
  <si>
    <t>Other Project Tax Benefits</t>
  </si>
  <si>
    <t>Total Annual TIFF Payments</t>
  </si>
  <si>
    <t>Loan Amount</t>
  </si>
  <si>
    <t>Bond Pricing</t>
  </si>
  <si>
    <t>Mo Payment</t>
  </si>
  <si>
    <t>Ann Payment</t>
  </si>
  <si>
    <t xml:space="preserve">Employment Tax Rate </t>
  </si>
  <si>
    <t>Wages</t>
  </si>
  <si>
    <t>Tax Reciept</t>
  </si>
  <si>
    <t>Community Accessability</t>
  </si>
  <si>
    <t>Housing Financial Performance</t>
  </si>
  <si>
    <t>Management Fee @3%</t>
  </si>
  <si>
    <t>Depreciation</t>
  </si>
  <si>
    <t>Depreciation TIA</t>
  </si>
  <si>
    <t>Construction costs</t>
  </si>
  <si>
    <t>Fixed Charges</t>
  </si>
  <si>
    <t xml:space="preserve">Funding via local Gov. </t>
  </si>
  <si>
    <t>Unlevered Cash flow</t>
  </si>
  <si>
    <t>CAP Rate</t>
  </si>
  <si>
    <t>Exit Valuation</t>
  </si>
  <si>
    <t>Monthly Payment</t>
  </si>
  <si>
    <t>Exit Comp Value Per Unit</t>
  </si>
  <si>
    <t>Annual Payment</t>
  </si>
  <si>
    <t>Total Comp Value</t>
  </si>
  <si>
    <t xml:space="preserve">Interest </t>
  </si>
  <si>
    <t xml:space="preserve">Inflation rate </t>
  </si>
  <si>
    <t>Blended Value</t>
  </si>
  <si>
    <t>Construction Value</t>
  </si>
  <si>
    <t>TI Costs</t>
  </si>
  <si>
    <t>Taxable Value @ 80%</t>
  </si>
  <si>
    <t>Tax Abatement Value 14%</t>
  </si>
  <si>
    <t>Property Tax Rate</t>
  </si>
  <si>
    <t>Yearly Taxes</t>
  </si>
  <si>
    <t>Tiff Taxes</t>
  </si>
  <si>
    <t>Total Tax</t>
  </si>
  <si>
    <t>Office Financial Performance</t>
  </si>
  <si>
    <t xml:space="preserve">Depreciation </t>
  </si>
  <si>
    <t xml:space="preserve">Depreciation TIA </t>
  </si>
  <si>
    <t>Tenant Improv cost</t>
  </si>
  <si>
    <t>total Taxes</t>
  </si>
  <si>
    <t>Retail Financial Perfromance</t>
  </si>
  <si>
    <t xml:space="preserve">TI Depreciation Accelerated </t>
  </si>
  <si>
    <t>Construction Valuation + TI</t>
  </si>
  <si>
    <t>Tax Abatement Value 10.25%</t>
  </si>
  <si>
    <t>Total Taxes</t>
  </si>
  <si>
    <t>Hotel Financial Performance</t>
  </si>
  <si>
    <t>Police Administration Facilities Strategy</t>
  </si>
  <si>
    <t>Local funds</t>
  </si>
  <si>
    <t>Federal funds</t>
  </si>
  <si>
    <t>Local TIF</t>
  </si>
  <si>
    <t>Department of Justice Grant</t>
  </si>
  <si>
    <t>Relocation costs</t>
  </si>
  <si>
    <t xml:space="preserve">Funding Loan </t>
  </si>
  <si>
    <t>25 over 4 years</t>
  </si>
  <si>
    <t>Tax Abatement Value 14% per year</t>
  </si>
  <si>
    <t>Parking Financial Performance</t>
  </si>
  <si>
    <t>CAM (Utilities/Trash)- management</t>
  </si>
  <si>
    <t xml:space="preserve">Real Estate Tax  </t>
  </si>
  <si>
    <t>Depreication TIA</t>
  </si>
  <si>
    <t>Construction cost (Structed)</t>
  </si>
  <si>
    <t>Construction cost (Rooftop)</t>
  </si>
  <si>
    <t>Construction cost (Surface)</t>
  </si>
  <si>
    <t>Total Construction cost</t>
  </si>
  <si>
    <t>Designated parking spaces</t>
  </si>
  <si>
    <t xml:space="preserve">Constuction Value </t>
  </si>
  <si>
    <t>Tenant Improv Cost</t>
  </si>
  <si>
    <t xml:space="preserve">Yearly Taxes  </t>
  </si>
  <si>
    <t>TIFF Taxes</t>
  </si>
  <si>
    <t>Park Financial Performance</t>
  </si>
  <si>
    <t>Management Fee @2%</t>
  </si>
  <si>
    <t>Constuction Value</t>
  </si>
  <si>
    <t>Phase 1</t>
  </si>
  <si>
    <t>NOI</t>
  </si>
  <si>
    <t>Residential, market-rate</t>
  </si>
  <si>
    <t>Residential, affordable</t>
  </si>
  <si>
    <t>Office</t>
    <phoneticPr fontId="3" type="noConversion"/>
  </si>
  <si>
    <t>Hotel</t>
    <phoneticPr fontId="3" type="noConversion"/>
  </si>
  <si>
    <t>Total NOI</t>
  </si>
  <si>
    <t>Capital costs</t>
  </si>
  <si>
    <t>Total capital costs</t>
  </si>
  <si>
    <t>Soft costs</t>
  </si>
  <si>
    <t>Architects &amp; Engineers</t>
  </si>
  <si>
    <t>Developer</t>
  </si>
  <si>
    <t>Entitlments</t>
  </si>
  <si>
    <t>Phase 2</t>
  </si>
  <si>
    <t>Phase 3</t>
  </si>
  <si>
    <t>EBITDA</t>
  </si>
  <si>
    <t>EBIT</t>
  </si>
  <si>
    <t>Unlevered IRR</t>
  </si>
  <si>
    <t>Transit Financial Performance</t>
  </si>
  <si>
    <t>Effective Millage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</si>
</sst>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%"/>
    <numFmt numFmtId="166" formatCode="_(* #,##0_);_(* \(#,##0\);_(* &quot;-&quot;??_);_(@_)"/>
    <numFmt numFmtId="167" formatCode="_(&quot;$&quot;* #,##0.0_);_(&quot;$&quot;* \(#,##0.0\);_(&quot;$&quot;* &quot;-&quot;??_);_(@_)"/>
    <numFmt numFmtId="168" formatCode="0.0%"/>
    <numFmt numFmtId="169" formatCode="&quot;$&quot;#,##0.00"/>
    <numFmt numFmtId="170" formatCode="_(&quot;$&quot;* #,##0_);_(&quot;$&quot;* \(#,##0\);_(&quot;$&quot;* &quot;-&quot;????_);_(@_)"/>
    <numFmt numFmtId="171" formatCode="_(* #,##0.0_);_(* \(#,##0.0\);_(* &quot;-&quot;?_);_(@_)"/>
    <numFmt numFmtId="172" formatCode="_(* #,##0_);_(* \(#,##0\);_(* &quot;-&quot;?_);_(@_)"/>
    <numFmt numFmtId="173" formatCode="&quot;$&quot;#,##0"/>
  </numFmts>
  <fonts count="43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rgb="FFFFFFFF"/>
      <name val="Arial"/>
      <family val="2"/>
    </font>
    <font>
      <sz val="10"/>
      <color rgb="FF000000"/>
      <name val="Times New Roman"/>
      <family val="1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b/>
      <sz val="8"/>
      <color indexed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color indexed="22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/>
      <name val="Arial"/>
      <family val="2"/>
    </font>
    <font>
      <sz val="11"/>
      <color rgb="FF006100"/>
      <name val="Arial Narrow"/>
      <family val="2"/>
    </font>
    <font>
      <b/>
      <sz val="16"/>
      <color theme="0"/>
      <name val="Calibri"/>
      <family val="2"/>
      <scheme val="minor"/>
    </font>
    <font>
      <b/>
      <sz val="10"/>
      <color rgb="FF000000"/>
      <name val="Times New Roman"/>
      <family val="1"/>
    </font>
    <font>
      <b/>
      <sz val="11"/>
      <name val="Arial Narrow"/>
      <family val="2"/>
    </font>
    <font>
      <b/>
      <sz val="10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rgb="FF000000"/>
      <name val="Times New Roman"/>
      <family val="1"/>
    </font>
    <font>
      <sz val="16"/>
      <name val="Cambria"/>
      <family val="2"/>
      <scheme val="major"/>
    </font>
    <font>
      <sz val="11"/>
      <name val="Calibri"/>
      <family val="2"/>
      <scheme val="minor"/>
    </font>
    <font>
      <sz val="8"/>
      <color theme="1"/>
      <name val="Calibri"/>
      <family val="2"/>
      <charset val="134"/>
      <scheme val="minor"/>
    </font>
    <font>
      <sz val="8"/>
      <color rgb="FFFF0000"/>
      <name val="Calibri"/>
      <family val="2"/>
      <charset val="134"/>
      <scheme val="minor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8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0"/>
      <color rgb="FF000000"/>
      <name val="Arial"/>
      <family val="2"/>
    </font>
    <font>
      <sz val="10"/>
      <color theme="0"/>
      <name val="Times New Roman"/>
      <family val="1"/>
    </font>
    <font>
      <sz val="7"/>
      <color rgb="FF00000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244060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94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21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9" borderId="0" applyNumberFormat="0" applyBorder="0" applyAlignment="0" applyProtection="0"/>
    <xf numFmtId="43" fontId="24" fillId="0" borderId="0" applyFont="0" applyFill="0" applyBorder="0" applyAlignment="0" applyProtection="0"/>
    <xf numFmtId="0" fontId="25" fillId="0" borderId="52" applyNumberFormat="0" applyFill="0" applyProtection="0">
      <alignment horizontal="left"/>
    </xf>
    <xf numFmtId="0" fontId="26" fillId="0" borderId="0">
      <alignment horizontal="right"/>
    </xf>
    <xf numFmtId="0" fontId="26" fillId="0" borderId="0" applyNumberFormat="0" applyFill="0" applyProtection="0">
      <alignment horizontal="right" indent="1"/>
    </xf>
    <xf numFmtId="0" fontId="26" fillId="0" borderId="0" applyNumberFormat="0" applyFont="0" applyFill="0" applyBorder="0" applyProtection="0">
      <alignment horizontal="left" indent="5"/>
    </xf>
    <xf numFmtId="44" fontId="26" fillId="0" borderId="0" applyFont="0" applyFill="0" applyBorder="0" applyAlignment="0" applyProtection="0"/>
    <xf numFmtId="1" fontId="26" fillId="0" borderId="0" applyFont="0" applyFill="0" applyBorder="0" applyProtection="0">
      <alignment horizontal="right"/>
    </xf>
    <xf numFmtId="14" fontId="26" fillId="0" borderId="0" applyFont="0" applyFill="0" applyBorder="0">
      <alignment horizontal="right"/>
    </xf>
    <xf numFmtId="0" fontId="26" fillId="0" borderId="0" applyNumberFormat="0" applyFont="0" applyFill="0" applyBorder="0" applyProtection="0">
      <alignment horizontal="center" wrapText="1"/>
    </xf>
    <xf numFmtId="0" fontId="1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62"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 wrapText="1" indent="3"/>
    </xf>
    <xf numFmtId="10" fontId="0" fillId="0" borderId="0" xfId="2" applyNumberFormat="1" applyFont="1" applyFill="1" applyBorder="1" applyAlignment="1">
      <alignment horizontal="left" vertical="top"/>
    </xf>
    <xf numFmtId="3" fontId="0" fillId="0" borderId="2" xfId="0" applyNumberFormat="1" applyBorder="1" applyAlignment="1">
      <alignment horizontal="left" vertical="top" indent="4"/>
    </xf>
    <xf numFmtId="3" fontId="0" fillId="0" borderId="2" xfId="0" applyNumberFormat="1" applyBorder="1" applyAlignment="1">
      <alignment horizontal="left" vertical="top" indent="3"/>
    </xf>
    <xf numFmtId="3" fontId="0" fillId="0" borderId="2" xfId="0" applyNumberFormat="1" applyBorder="1" applyAlignment="1">
      <alignment horizontal="left" vertical="top" indent="2"/>
    </xf>
    <xf numFmtId="8" fontId="0" fillId="0" borderId="0" xfId="0" applyNumberFormat="1" applyAlignment="1">
      <alignment horizontal="left" vertical="top"/>
    </xf>
    <xf numFmtId="164" fontId="0" fillId="0" borderId="0" xfId="1" applyNumberFormat="1" applyFont="1" applyFill="1" applyBorder="1" applyAlignment="1">
      <alignment horizontal="left" vertical="top"/>
    </xf>
    <xf numFmtId="164" fontId="0" fillId="0" borderId="0" xfId="0" applyNumberFormat="1" applyAlignment="1">
      <alignment horizontal="left" vertical="top"/>
    </xf>
    <xf numFmtId="6" fontId="0" fillId="0" borderId="0" xfId="0" applyNumberFormat="1" applyAlignment="1">
      <alignment horizontal="left" vertical="top"/>
    </xf>
    <xf numFmtId="164" fontId="4" fillId="0" borderId="0" xfId="1" applyNumberFormat="1" applyFont="1" applyFill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top" wrapText="1"/>
    </xf>
    <xf numFmtId="164" fontId="4" fillId="0" borderId="3" xfId="1" applyNumberFormat="1" applyFont="1" applyFill="1" applyBorder="1" applyAlignment="1">
      <alignment horizontal="center" vertical="top" wrapText="1"/>
    </xf>
    <xf numFmtId="10" fontId="0" fillId="0" borderId="0" xfId="0" applyNumberFormat="1" applyAlignment="1">
      <alignment horizontal="left" vertical="top"/>
    </xf>
    <xf numFmtId="165" fontId="0" fillId="0" borderId="0" xfId="2" applyNumberFormat="1" applyFont="1" applyFill="1" applyBorder="1" applyAlignment="1">
      <alignment horizontal="left" vertical="top"/>
    </xf>
    <xf numFmtId="44" fontId="0" fillId="0" borderId="0" xfId="0" applyNumberFormat="1" applyAlignment="1">
      <alignment horizontal="left" vertical="top"/>
    </xf>
    <xf numFmtId="164" fontId="4" fillId="0" borderId="0" xfId="0" applyNumberFormat="1" applyFont="1" applyAlignment="1">
      <alignment horizontal="center" vertical="top" wrapText="1"/>
    </xf>
    <xf numFmtId="9" fontId="0" fillId="0" borderId="0" xfId="0" applyNumberFormat="1" applyAlignment="1">
      <alignment horizontal="left" vertical="top"/>
    </xf>
    <xf numFmtId="16" fontId="0" fillId="0" borderId="0" xfId="0" applyNumberFormat="1" applyAlignment="1">
      <alignment horizontal="left" vertical="top"/>
    </xf>
    <xf numFmtId="3" fontId="0" fillId="0" borderId="0" xfId="0" applyNumberFormat="1" applyAlignment="1">
      <alignment horizontal="left" vertical="top"/>
    </xf>
    <xf numFmtId="0" fontId="0" fillId="4" borderId="4" xfId="0" applyFill="1" applyBorder="1" applyAlignment="1">
      <alignment horizontal="left" vertical="top"/>
    </xf>
    <xf numFmtId="164" fontId="0" fillId="4" borderId="4" xfId="0" applyNumberFormat="1" applyFill="1" applyBorder="1" applyAlignment="1">
      <alignment horizontal="left" vertical="top"/>
    </xf>
    <xf numFmtId="0" fontId="0" fillId="0" borderId="1" xfId="0" applyBorder="1" applyAlignment="1">
      <alignment wrapText="1"/>
    </xf>
    <xf numFmtId="0" fontId="2" fillId="0" borderId="0" xfId="3"/>
    <xf numFmtId="0" fontId="12" fillId="0" borderId="10" xfId="3" applyFont="1" applyBorder="1" applyAlignment="1">
      <alignment vertical="center"/>
    </xf>
    <xf numFmtId="44" fontId="12" fillId="0" borderId="10" xfId="4" applyFont="1" applyBorder="1" applyAlignment="1">
      <alignment horizontal="left" vertical="center"/>
    </xf>
    <xf numFmtId="44" fontId="12" fillId="0" borderId="11" xfId="4" applyFont="1" applyBorder="1" applyAlignment="1">
      <alignment horizontal="center" vertical="center"/>
    </xf>
    <xf numFmtId="44" fontId="12" fillId="0" borderId="12" xfId="4" applyFont="1" applyBorder="1" applyAlignment="1">
      <alignment horizontal="center" vertical="center"/>
    </xf>
    <xf numFmtId="0" fontId="12" fillId="0" borderId="20" xfId="3" applyFont="1" applyBorder="1" applyAlignment="1">
      <alignment vertical="center"/>
    </xf>
    <xf numFmtId="44" fontId="12" fillId="0" borderId="21" xfId="4" applyFont="1" applyBorder="1" applyAlignment="1">
      <alignment horizontal="left" vertical="center"/>
    </xf>
    <xf numFmtId="3" fontId="12" fillId="0" borderId="21" xfId="3" applyNumberFormat="1" applyFont="1" applyBorder="1" applyAlignment="1">
      <alignment horizontal="center" vertical="center"/>
    </xf>
    <xf numFmtId="44" fontId="12" fillId="0" borderId="8" xfId="4" applyFont="1" applyBorder="1" applyAlignment="1">
      <alignment horizontal="center" vertical="center"/>
    </xf>
    <xf numFmtId="44" fontId="12" fillId="0" borderId="22" xfId="4" applyFont="1" applyBorder="1" applyAlignment="1">
      <alignment horizontal="center" vertical="center"/>
    </xf>
    <xf numFmtId="3" fontId="12" fillId="0" borderId="10" xfId="3" applyNumberFormat="1" applyFont="1" applyBorder="1" applyAlignment="1">
      <alignment horizontal="center" vertical="center"/>
    </xf>
    <xf numFmtId="44" fontId="12" fillId="0" borderId="21" xfId="4" applyFont="1" applyBorder="1" applyAlignment="1">
      <alignment horizontal="center" vertical="center"/>
    </xf>
    <xf numFmtId="44" fontId="12" fillId="0" borderId="25" xfId="4" applyFont="1" applyBorder="1" applyAlignment="1">
      <alignment horizontal="center" vertical="center"/>
    </xf>
    <xf numFmtId="44" fontId="0" fillId="0" borderId="0" xfId="1" applyFont="1" applyFill="1" applyBorder="1" applyAlignment="1">
      <alignment horizontal="left" vertical="top"/>
    </xf>
    <xf numFmtId="166" fontId="0" fillId="0" borderId="0" xfId="6" applyNumberFormat="1" applyFont="1"/>
    <xf numFmtId="0" fontId="2" fillId="0" borderId="0" xfId="3" applyAlignment="1">
      <alignment horizontal="center"/>
    </xf>
    <xf numFmtId="166" fontId="2" fillId="0" borderId="0" xfId="3" applyNumberFormat="1"/>
    <xf numFmtId="167" fontId="0" fillId="0" borderId="0" xfId="4" applyNumberFormat="1" applyFont="1"/>
    <xf numFmtId="0" fontId="2" fillId="0" borderId="14" xfId="3" applyBorder="1"/>
    <xf numFmtId="0" fontId="2" fillId="0" borderId="17" xfId="3" applyBorder="1"/>
    <xf numFmtId="9" fontId="0" fillId="0" borderId="17" xfId="5" applyFont="1" applyBorder="1"/>
    <xf numFmtId="0" fontId="2" fillId="0" borderId="0" xfId="3" applyAlignment="1">
      <alignment horizontal="right"/>
    </xf>
    <xf numFmtId="0" fontId="9" fillId="0" borderId="0" xfId="3" applyFont="1"/>
    <xf numFmtId="0" fontId="2" fillId="0" borderId="0" xfId="3" quotePrefix="1"/>
    <xf numFmtId="0" fontId="3" fillId="0" borderId="14" xfId="0" applyFont="1" applyBorder="1" applyAlignment="1">
      <alignment horizontal="center"/>
    </xf>
    <xf numFmtId="0" fontId="0" fillId="0" borderId="0" xfId="0"/>
    <xf numFmtId="0" fontId="0" fillId="0" borderId="17" xfId="0" applyBorder="1"/>
    <xf numFmtId="0" fontId="4" fillId="0" borderId="14" xfId="0" applyFont="1" applyBorder="1"/>
    <xf numFmtId="0" fontId="4" fillId="0" borderId="33" xfId="0" applyFont="1" applyBorder="1"/>
    <xf numFmtId="0" fontId="4" fillId="0" borderId="6" xfId="0" applyFont="1" applyBorder="1"/>
    <xf numFmtId="37" fontId="2" fillId="0" borderId="0" xfId="3" applyNumberFormat="1"/>
    <xf numFmtId="0" fontId="17" fillId="2" borderId="1" xfId="0" applyFont="1" applyFill="1" applyBorder="1" applyAlignment="1">
      <alignment horizontal="left" vertical="top" wrapText="1" indent="2"/>
    </xf>
    <xf numFmtId="0" fontId="3" fillId="0" borderId="2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12" fillId="0" borderId="21" xfId="3" applyFont="1" applyBorder="1" applyAlignment="1">
      <alignment horizontal="right" vertical="center"/>
    </xf>
    <xf numFmtId="0" fontId="12" fillId="0" borderId="11" xfId="3" applyFont="1" applyBorder="1" applyAlignment="1">
      <alignment horizontal="right" vertical="center"/>
    </xf>
    <xf numFmtId="164" fontId="2" fillId="0" borderId="0" xfId="3" applyNumberFormat="1"/>
    <xf numFmtId="164" fontId="2" fillId="0" borderId="17" xfId="3" applyNumberFormat="1" applyBorder="1"/>
    <xf numFmtId="0" fontId="8" fillId="6" borderId="29" xfId="3" applyFont="1" applyFill="1" applyBorder="1"/>
    <xf numFmtId="0" fontId="8" fillId="6" borderId="33" xfId="3" applyFont="1" applyFill="1" applyBorder="1"/>
    <xf numFmtId="164" fontId="0" fillId="3" borderId="0" xfId="1" applyNumberFormat="1" applyFont="1" applyFill="1" applyBorder="1" applyAlignment="1">
      <alignment horizontal="left" vertical="top"/>
    </xf>
    <xf numFmtId="0" fontId="2" fillId="7" borderId="4" xfId="3" applyFill="1" applyBorder="1"/>
    <xf numFmtId="164" fontId="2" fillId="7" borderId="4" xfId="3" applyNumberFormat="1" applyFill="1" applyBorder="1"/>
    <xf numFmtId="164" fontId="2" fillId="0" borderId="4" xfId="3" applyNumberFormat="1" applyBorder="1"/>
    <xf numFmtId="44" fontId="2" fillId="0" borderId="0" xfId="3" applyNumberFormat="1"/>
    <xf numFmtId="0" fontId="7" fillId="0" borderId="0" xfId="0" applyFont="1" applyAlignment="1">
      <alignment horizontal="left" vertical="top"/>
    </xf>
    <xf numFmtId="164" fontId="0" fillId="0" borderId="34" xfId="4" applyNumberFormat="1" applyFont="1" applyFill="1" applyBorder="1"/>
    <xf numFmtId="0" fontId="0" fillId="0" borderId="41" xfId="0" applyBorder="1" applyAlignment="1">
      <alignment horizontal="left" vertical="top"/>
    </xf>
    <xf numFmtId="0" fontId="0" fillId="0" borderId="42" xfId="0" applyBorder="1" applyAlignment="1">
      <alignment horizontal="left" vertical="top"/>
    </xf>
    <xf numFmtId="8" fontId="0" fillId="0" borderId="42" xfId="0" applyNumberFormat="1" applyBorder="1" applyAlignment="1">
      <alignment horizontal="left" vertical="top"/>
    </xf>
    <xf numFmtId="0" fontId="0" fillId="0" borderId="43" xfId="0" applyBorder="1" applyAlignment="1">
      <alignment horizontal="left" vertical="top"/>
    </xf>
    <xf numFmtId="44" fontId="0" fillId="0" borderId="44" xfId="1" applyFont="1" applyFill="1" applyBorder="1" applyAlignment="1">
      <alignment horizontal="left" vertical="top"/>
    </xf>
    <xf numFmtId="0" fontId="0" fillId="0" borderId="44" xfId="0" applyBorder="1" applyAlignment="1">
      <alignment horizontal="left" vertical="top"/>
    </xf>
    <xf numFmtId="0" fontId="0" fillId="0" borderId="45" xfId="0" applyBorder="1" applyAlignment="1">
      <alignment horizontal="left" vertical="top"/>
    </xf>
    <xf numFmtId="164" fontId="0" fillId="3" borderId="0" xfId="0" applyNumberFormat="1" applyFill="1" applyAlignment="1">
      <alignment horizontal="left" vertical="top"/>
    </xf>
    <xf numFmtId="0" fontId="1" fillId="0" borderId="14" xfId="3" applyFont="1" applyBorder="1"/>
    <xf numFmtId="0" fontId="9" fillId="0" borderId="31" xfId="3" applyFont="1" applyBorder="1" applyAlignment="1">
      <alignment horizontal="right"/>
    </xf>
    <xf numFmtId="164" fontId="9" fillId="0" borderId="36" xfId="3" applyNumberFormat="1" applyFont="1" applyBorder="1"/>
    <xf numFmtId="9" fontId="9" fillId="0" borderId="32" xfId="2" applyFont="1" applyBorder="1"/>
    <xf numFmtId="0" fontId="1" fillId="0" borderId="0" xfId="3" applyFont="1"/>
    <xf numFmtId="166" fontId="7" fillId="0" borderId="14" xfId="6" applyNumberFormat="1" applyFont="1" applyBorder="1"/>
    <xf numFmtId="0" fontId="2" fillId="0" borderId="6" xfId="3" applyBorder="1"/>
    <xf numFmtId="0" fontId="2" fillId="0" borderId="34" xfId="3" applyBorder="1"/>
    <xf numFmtId="166" fontId="20" fillId="0" borderId="24" xfId="6" applyNumberFormat="1" applyFont="1" applyBorder="1"/>
    <xf numFmtId="6" fontId="9" fillId="0" borderId="22" xfId="3" applyNumberFormat="1" applyFont="1" applyBorder="1" applyAlignment="1">
      <alignment horizontal="center"/>
    </xf>
    <xf numFmtId="166" fontId="20" fillId="0" borderId="26" xfId="6" applyNumberFormat="1" applyFont="1" applyBorder="1"/>
    <xf numFmtId="164" fontId="18" fillId="9" borderId="0" xfId="7" applyNumberFormat="1" applyBorder="1"/>
    <xf numFmtId="164" fontId="18" fillId="9" borderId="17" xfId="7" applyNumberFormat="1" applyBorder="1"/>
    <xf numFmtId="0" fontId="21" fillId="9" borderId="14" xfId="7" applyFont="1" applyBorder="1"/>
    <xf numFmtId="44" fontId="22" fillId="0" borderId="0" xfId="3" applyNumberFormat="1" applyFont="1"/>
    <xf numFmtId="166" fontId="20" fillId="0" borderId="0" xfId="6" applyNumberFormat="1" applyFont="1" applyBorder="1"/>
    <xf numFmtId="9" fontId="20" fillId="0" borderId="0" xfId="2" applyFont="1" applyBorder="1" applyAlignment="1">
      <alignment horizontal="center"/>
    </xf>
    <xf numFmtId="0" fontId="8" fillId="6" borderId="14" xfId="3" applyFont="1" applyFill="1" applyBorder="1"/>
    <xf numFmtId="0" fontId="16" fillId="0" borderId="14" xfId="3" applyFont="1" applyBorder="1"/>
    <xf numFmtId="0" fontId="15" fillId="0" borderId="31" xfId="3" applyFont="1" applyBorder="1"/>
    <xf numFmtId="0" fontId="2" fillId="0" borderId="36" xfId="3" applyBorder="1"/>
    <xf numFmtId="2" fontId="0" fillId="0" borderId="0" xfId="0" applyNumberFormat="1" applyAlignment="1">
      <alignment horizontal="left" vertical="top"/>
    </xf>
    <xf numFmtId="0" fontId="20" fillId="0" borderId="0" xfId="0" applyFont="1" applyAlignment="1">
      <alignment horizontal="left" vertical="top"/>
    </xf>
    <xf numFmtId="6" fontId="2" fillId="0" borderId="0" xfId="3" applyNumberFormat="1"/>
    <xf numFmtId="49" fontId="2" fillId="0" borderId="0" xfId="3" applyNumberFormat="1"/>
    <xf numFmtId="168" fontId="0" fillId="0" borderId="0" xfId="2" applyNumberFormat="1" applyFont="1" applyFill="1" applyBorder="1" applyAlignment="1">
      <alignment horizontal="left" vertical="top"/>
    </xf>
    <xf numFmtId="0" fontId="10" fillId="11" borderId="18" xfId="3" applyFont="1" applyFill="1" applyBorder="1" applyAlignment="1">
      <alignment horizontal="center"/>
    </xf>
    <xf numFmtId="0" fontId="10" fillId="11" borderId="19" xfId="3" applyFont="1" applyFill="1" applyBorder="1" applyAlignment="1">
      <alignment horizontal="center"/>
    </xf>
    <xf numFmtId="0" fontId="10" fillId="11" borderId="8" xfId="3" applyFont="1" applyFill="1" applyBorder="1" applyAlignment="1">
      <alignment horizontal="center"/>
    </xf>
    <xf numFmtId="0" fontId="10" fillId="11" borderId="8" xfId="3" applyFont="1" applyFill="1" applyBorder="1" applyAlignment="1">
      <alignment horizontal="center" wrapText="1"/>
    </xf>
    <xf numFmtId="0" fontId="10" fillId="11" borderId="8" xfId="3" applyFont="1" applyFill="1" applyBorder="1" applyAlignment="1">
      <alignment horizontal="centerContinuous"/>
    </xf>
    <xf numFmtId="0" fontId="10" fillId="11" borderId="9" xfId="3" applyFont="1" applyFill="1" applyBorder="1" applyAlignment="1">
      <alignment horizontal="center"/>
    </xf>
    <xf numFmtId="0" fontId="10" fillId="11" borderId="11" xfId="3" applyFont="1" applyFill="1" applyBorder="1" applyAlignment="1">
      <alignment horizontal="right" vertical="center"/>
    </xf>
    <xf numFmtId="0" fontId="10" fillId="11" borderId="27" xfId="3" applyFont="1" applyFill="1" applyBorder="1" applyAlignment="1">
      <alignment horizontal="right" vertical="center"/>
    </xf>
    <xf numFmtId="0" fontId="10" fillId="11" borderId="7" xfId="3" applyFont="1" applyFill="1" applyBorder="1" applyAlignment="1">
      <alignment horizontal="center"/>
    </xf>
    <xf numFmtId="0" fontId="14" fillId="4" borderId="14" xfId="3" applyFont="1" applyFill="1" applyBorder="1" applyAlignment="1">
      <alignment horizontal="center"/>
    </xf>
    <xf numFmtId="0" fontId="14" fillId="4" borderId="17" xfId="3" applyFont="1" applyFill="1" applyBorder="1" applyAlignment="1">
      <alignment horizontal="center"/>
    </xf>
    <xf numFmtId="44" fontId="13" fillId="4" borderId="11" xfId="4" applyFont="1" applyFill="1" applyBorder="1" applyAlignment="1">
      <alignment horizontal="center" vertical="center"/>
    </xf>
    <xf numFmtId="44" fontId="13" fillId="4" borderId="15" xfId="4" applyFont="1" applyFill="1" applyBorder="1" applyAlignment="1">
      <alignment horizontal="center" vertical="center"/>
    </xf>
    <xf numFmtId="44" fontId="13" fillId="4" borderId="27" xfId="4" applyFont="1" applyFill="1" applyBorder="1" applyAlignment="1">
      <alignment horizontal="center" vertical="center"/>
    </xf>
    <xf numFmtId="44" fontId="13" fillId="4" borderId="28" xfId="4" applyFont="1" applyFill="1" applyBorder="1" applyAlignment="1">
      <alignment horizontal="center" vertical="center"/>
    </xf>
    <xf numFmtId="165" fontId="0" fillId="0" borderId="0" xfId="0" applyNumberFormat="1" applyAlignment="1">
      <alignment horizontal="left" vertical="top"/>
    </xf>
    <xf numFmtId="0" fontId="2" fillId="12" borderId="30" xfId="3" applyFill="1" applyBorder="1"/>
    <xf numFmtId="164" fontId="0" fillId="0" borderId="0" xfId="4" applyNumberFormat="1" applyFont="1" applyFill="1" applyBorder="1"/>
    <xf numFmtId="0" fontId="1" fillId="0" borderId="33" xfId="3" applyFont="1" applyBorder="1"/>
    <xf numFmtId="0" fontId="7" fillId="7" borderId="0" xfId="0" applyFont="1" applyFill="1" applyAlignment="1">
      <alignment horizontal="left" vertical="top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166" fontId="27" fillId="0" borderId="0" xfId="8" applyNumberFormat="1" applyFont="1" applyAlignment="1">
      <alignment vertical="center"/>
    </xf>
    <xf numFmtId="44" fontId="28" fillId="0" borderId="0" xfId="1" applyFont="1" applyAlignment="1">
      <alignment vertical="center"/>
    </xf>
    <xf numFmtId="164" fontId="28" fillId="0" borderId="0" xfId="1" applyNumberFormat="1" applyFont="1" applyAlignment="1">
      <alignment vertical="center"/>
    </xf>
    <xf numFmtId="164" fontId="27" fillId="0" borderId="0" xfId="1" applyNumberFormat="1" applyFont="1" applyAlignment="1">
      <alignment vertical="center"/>
    </xf>
    <xf numFmtId="0" fontId="29" fillId="0" borderId="0" xfId="0" applyFont="1" applyAlignment="1">
      <alignment horizontal="left" vertical="top"/>
    </xf>
    <xf numFmtId="0" fontId="7" fillId="15" borderId="0" xfId="0" applyFont="1" applyFill="1" applyAlignment="1">
      <alignment horizontal="left" vertical="top"/>
    </xf>
    <xf numFmtId="0" fontId="1" fillId="0" borderId="0" xfId="17"/>
    <xf numFmtId="0" fontId="1" fillId="17" borderId="18" xfId="17" applyFill="1" applyBorder="1"/>
    <xf numFmtId="0" fontId="1" fillId="17" borderId="59" xfId="17" applyFill="1" applyBorder="1"/>
    <xf numFmtId="166" fontId="0" fillId="18" borderId="11" xfId="19" applyNumberFormat="1" applyFont="1" applyFill="1" applyBorder="1"/>
    <xf numFmtId="166" fontId="0" fillId="19" borderId="11" xfId="19" applyNumberFormat="1" applyFont="1" applyFill="1" applyBorder="1"/>
    <xf numFmtId="166" fontId="0" fillId="20" borderId="11" xfId="19" applyNumberFormat="1" applyFont="1" applyFill="1" applyBorder="1"/>
    <xf numFmtId="0" fontId="1" fillId="19" borderId="0" xfId="17" applyFill="1"/>
    <xf numFmtId="0" fontId="27" fillId="7" borderId="0" xfId="0" applyFont="1" applyFill="1" applyAlignment="1">
      <alignment vertical="center"/>
    </xf>
    <xf numFmtId="166" fontId="1" fillId="0" borderId="0" xfId="17" applyNumberFormat="1"/>
    <xf numFmtId="166" fontId="30" fillId="0" borderId="0" xfId="17" applyNumberFormat="1" applyFont="1" applyAlignment="1">
      <alignment vertical="center"/>
    </xf>
    <xf numFmtId="9" fontId="0" fillId="0" borderId="0" xfId="2" applyFont="1" applyFill="1" applyBorder="1" applyAlignment="1">
      <alignment horizontal="left" vertical="top"/>
    </xf>
    <xf numFmtId="0" fontId="34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left" vertical="center" indent="1"/>
    </xf>
    <xf numFmtId="164" fontId="35" fillId="0" borderId="0" xfId="1" applyNumberFormat="1" applyFont="1" applyFill="1" applyAlignment="1">
      <alignment vertical="center"/>
    </xf>
    <xf numFmtId="166" fontId="35" fillId="0" borderId="0" xfId="8" applyNumberFormat="1" applyFont="1" applyFill="1" applyAlignment="1">
      <alignment horizontal="left" vertical="center" indent="1"/>
    </xf>
    <xf numFmtId="0" fontId="34" fillId="0" borderId="0" xfId="0" applyFont="1" applyAlignment="1">
      <alignment horizontal="left" vertical="center" indent="1"/>
    </xf>
    <xf numFmtId="10" fontId="35" fillId="0" borderId="0" xfId="0" applyNumberFormat="1" applyFont="1" applyAlignment="1">
      <alignment vertical="center"/>
    </xf>
    <xf numFmtId="164" fontId="35" fillId="0" borderId="0" xfId="0" applyNumberFormat="1" applyFont="1" applyAlignment="1">
      <alignment vertical="center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 indent="2"/>
    </xf>
    <xf numFmtId="164" fontId="35" fillId="0" borderId="0" xfId="1" applyNumberFormat="1" applyFont="1" applyFill="1" applyAlignment="1">
      <alignment horizontal="left" vertical="center" indent="1"/>
    </xf>
    <xf numFmtId="164" fontId="35" fillId="0" borderId="0" xfId="1" applyNumberFormat="1" applyFont="1" applyFill="1" applyBorder="1" applyAlignment="1">
      <alignment vertical="center"/>
    </xf>
    <xf numFmtId="164" fontId="35" fillId="0" borderId="0" xfId="1" applyNumberFormat="1" applyFont="1" applyFill="1" applyBorder="1" applyAlignment="1">
      <alignment horizontal="left" vertical="center" indent="1"/>
    </xf>
    <xf numFmtId="6" fontId="2" fillId="0" borderId="17" xfId="3" applyNumberFormat="1" applyBorder="1"/>
    <xf numFmtId="0" fontId="36" fillId="12" borderId="29" xfId="3" applyFont="1" applyFill="1" applyBorder="1" applyAlignment="1">
      <alignment horizontal="center"/>
    </xf>
    <xf numFmtId="0" fontId="36" fillId="12" borderId="37" xfId="3" applyFont="1" applyFill="1" applyBorder="1" applyAlignment="1">
      <alignment horizontal="center"/>
    </xf>
    <xf numFmtId="0" fontId="8" fillId="12" borderId="30" xfId="3" applyFont="1" applyFill="1" applyBorder="1" applyAlignment="1">
      <alignment horizontal="center"/>
    </xf>
    <xf numFmtId="0" fontId="7" fillId="0" borderId="41" xfId="0" applyFont="1" applyBorder="1" applyAlignment="1">
      <alignment horizontal="left" vertical="top"/>
    </xf>
    <xf numFmtId="166" fontId="1" fillId="0" borderId="50" xfId="17" applyNumberFormat="1" applyBorder="1"/>
    <xf numFmtId="166" fontId="1" fillId="22" borderId="50" xfId="17" applyNumberFormat="1" applyFill="1" applyBorder="1"/>
    <xf numFmtId="9" fontId="1" fillId="0" borderId="0" xfId="17" applyNumberFormat="1"/>
    <xf numFmtId="166" fontId="31" fillId="0" borderId="0" xfId="19" applyNumberFormat="1" applyFont="1" applyFill="1" applyBorder="1" applyAlignment="1">
      <alignment horizontal="center"/>
    </xf>
    <xf numFmtId="43" fontId="0" fillId="0" borderId="0" xfId="19" applyFont="1" applyFill="1"/>
    <xf numFmtId="166" fontId="0" fillId="0" borderId="0" xfId="19" applyNumberFormat="1" applyFont="1" applyFill="1" applyBorder="1"/>
    <xf numFmtId="0" fontId="1" fillId="23" borderId="34" xfId="17" applyFill="1" applyBorder="1"/>
    <xf numFmtId="0" fontId="1" fillId="23" borderId="6" xfId="17" applyFill="1" applyBorder="1"/>
    <xf numFmtId="0" fontId="1" fillId="23" borderId="33" xfId="17" applyFill="1" applyBorder="1"/>
    <xf numFmtId="0" fontId="1" fillId="23" borderId="17" xfId="17" applyFill="1" applyBorder="1"/>
    <xf numFmtId="0" fontId="1" fillId="23" borderId="0" xfId="17" applyFill="1"/>
    <xf numFmtId="0" fontId="1" fillId="23" borderId="14" xfId="17" applyFill="1" applyBorder="1"/>
    <xf numFmtId="166" fontId="1" fillId="23" borderId="50" xfId="17" applyNumberFormat="1" applyFill="1" applyBorder="1"/>
    <xf numFmtId="9" fontId="1" fillId="23" borderId="0" xfId="17" applyNumberFormat="1" applyFill="1"/>
    <xf numFmtId="0" fontId="1" fillId="23" borderId="30" xfId="17" applyFill="1" applyBorder="1"/>
    <xf numFmtId="0" fontId="1" fillId="23" borderId="37" xfId="17" applyFill="1" applyBorder="1"/>
    <xf numFmtId="0" fontId="1" fillId="23" borderId="29" xfId="17" applyFill="1" applyBorder="1"/>
    <xf numFmtId="0" fontId="32" fillId="0" borderId="0" xfId="18" applyFont="1" applyAlignment="1">
      <alignment horizontal="center"/>
    </xf>
    <xf numFmtId="166" fontId="31" fillId="0" borderId="0" xfId="19" applyNumberFormat="1" applyFont="1" applyFill="1" applyBorder="1"/>
    <xf numFmtId="1" fontId="12" fillId="0" borderId="10" xfId="5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left" vertical="top"/>
    </xf>
    <xf numFmtId="168" fontId="0" fillId="0" borderId="0" xfId="0" applyNumberFormat="1" applyAlignment="1">
      <alignment horizontal="left" vertical="top"/>
    </xf>
    <xf numFmtId="170" fontId="2" fillId="0" borderId="17" xfId="3" applyNumberFormat="1" applyBorder="1"/>
    <xf numFmtId="0" fontId="26" fillId="0" borderId="0" xfId="17" applyFont="1"/>
    <xf numFmtId="171" fontId="26" fillId="0" borderId="0" xfId="17" applyNumberFormat="1" applyFont="1"/>
    <xf numFmtId="171" fontId="1" fillId="0" borderId="0" xfId="17" applyNumberFormat="1"/>
    <xf numFmtId="166" fontId="1" fillId="7" borderId="32" xfId="17" applyNumberFormat="1" applyFill="1" applyBorder="1"/>
    <xf numFmtId="166" fontId="1" fillId="16" borderId="59" xfId="17" applyNumberFormat="1" applyFill="1" applyBorder="1"/>
    <xf numFmtId="166" fontId="1" fillId="16" borderId="19" xfId="17" applyNumberFormat="1" applyFill="1" applyBorder="1"/>
    <xf numFmtId="166" fontId="1" fillId="16" borderId="18" xfId="17" applyNumberFormat="1" applyFill="1" applyBorder="1"/>
    <xf numFmtId="0" fontId="1" fillId="0" borderId="0" xfId="17" applyAlignment="1">
      <alignment horizontal="right"/>
    </xf>
    <xf numFmtId="166" fontId="1" fillId="22" borderId="32" xfId="17" applyNumberFormat="1" applyFill="1" applyBorder="1"/>
    <xf numFmtId="172" fontId="1" fillId="21" borderId="59" xfId="17" applyNumberFormat="1" applyFill="1" applyBorder="1"/>
    <xf numFmtId="172" fontId="1" fillId="21" borderId="19" xfId="17" applyNumberFormat="1" applyFill="1" applyBorder="1"/>
    <xf numFmtId="172" fontId="1" fillId="21" borderId="18" xfId="17" applyNumberFormat="1" applyFill="1" applyBorder="1"/>
    <xf numFmtId="166" fontId="1" fillId="0" borderId="32" xfId="17" applyNumberFormat="1" applyBorder="1"/>
    <xf numFmtId="166" fontId="26" fillId="16" borderId="59" xfId="19" applyNumberFormat="1" applyFont="1" applyFill="1" applyBorder="1"/>
    <xf numFmtId="166" fontId="26" fillId="16" borderId="19" xfId="19" applyNumberFormat="1" applyFont="1" applyFill="1" applyBorder="1"/>
    <xf numFmtId="166" fontId="26" fillId="16" borderId="18" xfId="19" applyNumberFormat="1" applyFont="1" applyFill="1" applyBorder="1"/>
    <xf numFmtId="166" fontId="26" fillId="0" borderId="0" xfId="19" applyNumberFormat="1" applyFont="1" applyFill="1" applyBorder="1" applyAlignment="1">
      <alignment horizontal="center"/>
    </xf>
    <xf numFmtId="166" fontId="26" fillId="0" borderId="15" xfId="19" applyNumberFormat="1" applyFont="1" applyFill="1" applyBorder="1" applyAlignment="1">
      <alignment horizontal="center"/>
    </xf>
    <xf numFmtId="166" fontId="26" fillId="0" borderId="11" xfId="19" applyNumberFormat="1" applyFont="1" applyFill="1" applyBorder="1" applyAlignment="1">
      <alignment horizontal="center"/>
    </xf>
    <xf numFmtId="166" fontId="26" fillId="0" borderId="23" xfId="19" applyNumberFormat="1" applyFont="1" applyFill="1" applyBorder="1" applyAlignment="1">
      <alignment horizontal="center"/>
    </xf>
    <xf numFmtId="166" fontId="26" fillId="16" borderId="15" xfId="19" applyNumberFormat="1" applyFont="1" applyFill="1" applyBorder="1" applyAlignment="1">
      <alignment horizontal="center"/>
    </xf>
    <xf numFmtId="166" fontId="26" fillId="16" borderId="11" xfId="19" applyNumberFormat="1" applyFont="1" applyFill="1" applyBorder="1" applyAlignment="1">
      <alignment horizontal="center"/>
    </xf>
    <xf numFmtId="166" fontId="26" fillId="16" borderId="23" xfId="19" applyNumberFormat="1" applyFont="1" applyFill="1" applyBorder="1" applyAlignment="1">
      <alignment horizontal="center"/>
    </xf>
    <xf numFmtId="0" fontId="1" fillId="16" borderId="0" xfId="17" applyFill="1"/>
    <xf numFmtId="0" fontId="26" fillId="0" borderId="0" xfId="18" applyFont="1" applyAlignment="1">
      <alignment horizontal="right"/>
    </xf>
    <xf numFmtId="0" fontId="26" fillId="0" borderId="0" xfId="18" applyFont="1"/>
    <xf numFmtId="0" fontId="37" fillId="0" borderId="0" xfId="18" applyFont="1" applyAlignment="1">
      <alignment horizontal="center"/>
    </xf>
    <xf numFmtId="0" fontId="37" fillId="17" borderId="65" xfId="18" applyFont="1" applyFill="1" applyBorder="1" applyAlignment="1">
      <alignment horizontal="center"/>
    </xf>
    <xf numFmtId="0" fontId="37" fillId="20" borderId="64" xfId="18" applyFont="1" applyFill="1" applyBorder="1" applyAlignment="1">
      <alignment horizontal="center"/>
    </xf>
    <xf numFmtId="0" fontId="37" fillId="19" borderId="64" xfId="18" applyFont="1" applyFill="1" applyBorder="1" applyAlignment="1">
      <alignment horizontal="center"/>
    </xf>
    <xf numFmtId="0" fontId="37" fillId="18" borderId="64" xfId="18" applyFont="1" applyFill="1" applyBorder="1" applyAlignment="1">
      <alignment horizontal="center"/>
    </xf>
    <xf numFmtId="0" fontId="37" fillId="17" borderId="16" xfId="18" applyFont="1" applyFill="1" applyBorder="1" applyAlignment="1">
      <alignment horizontal="center"/>
    </xf>
    <xf numFmtId="0" fontId="26" fillId="0" borderId="0" xfId="17" applyFont="1" applyAlignment="1">
      <alignment horizontal="center"/>
    </xf>
    <xf numFmtId="166" fontId="26" fillId="0" borderId="0" xfId="19" applyNumberFormat="1" applyFont="1" applyFill="1" applyBorder="1"/>
    <xf numFmtId="0" fontId="26" fillId="0" borderId="61" xfId="18" applyFont="1" applyBorder="1" applyAlignment="1">
      <alignment horizontal="right"/>
    </xf>
    <xf numFmtId="166" fontId="26" fillId="17" borderId="15" xfId="19" applyNumberFormat="1" applyFont="1" applyFill="1" applyBorder="1" applyAlignment="1">
      <alignment horizontal="center"/>
    </xf>
    <xf numFmtId="166" fontId="26" fillId="20" borderId="11" xfId="19" applyNumberFormat="1" applyFont="1" applyFill="1" applyBorder="1" applyAlignment="1">
      <alignment horizontal="center"/>
    </xf>
    <xf numFmtId="166" fontId="26" fillId="19" borderId="11" xfId="19" applyNumberFormat="1" applyFont="1" applyFill="1" applyBorder="1" applyAlignment="1">
      <alignment horizontal="center"/>
    </xf>
    <xf numFmtId="166" fontId="26" fillId="18" borderId="11" xfId="19" applyNumberFormat="1" applyFont="1" applyFill="1" applyBorder="1" applyAlignment="1">
      <alignment horizontal="center"/>
    </xf>
    <xf numFmtId="166" fontId="26" fillId="17" borderId="23" xfId="19" applyNumberFormat="1" applyFont="1" applyFill="1" applyBorder="1" applyAlignment="1">
      <alignment horizontal="center"/>
    </xf>
    <xf numFmtId="0" fontId="26" fillId="0" borderId="0" xfId="18" applyFont="1" applyAlignment="1">
      <alignment horizontal="center"/>
    </xf>
    <xf numFmtId="166" fontId="26" fillId="0" borderId="69" xfId="19" applyNumberFormat="1" applyFont="1" applyFill="1" applyBorder="1"/>
    <xf numFmtId="166" fontId="0" fillId="17" borderId="54" xfId="19" applyNumberFormat="1" applyFont="1" applyFill="1" applyBorder="1"/>
    <xf numFmtId="166" fontId="0" fillId="20" borderId="27" xfId="19" applyNumberFormat="1" applyFont="1" applyFill="1" applyBorder="1"/>
    <xf numFmtId="166" fontId="0" fillId="19" borderId="27" xfId="19" applyNumberFormat="1" applyFont="1" applyFill="1" applyBorder="1"/>
    <xf numFmtId="166" fontId="0" fillId="18" borderId="27" xfId="19" applyNumberFormat="1" applyFont="1" applyFill="1" applyBorder="1"/>
    <xf numFmtId="166" fontId="0" fillId="17" borderId="26" xfId="19" applyNumberFormat="1" applyFont="1" applyFill="1" applyBorder="1"/>
    <xf numFmtId="0" fontId="1" fillId="0" borderId="0" xfId="17" applyAlignment="1">
      <alignment vertical="center" wrapText="1"/>
    </xf>
    <xf numFmtId="166" fontId="26" fillId="0" borderId="70" xfId="19" applyNumberFormat="1" applyFont="1" applyFill="1" applyBorder="1"/>
    <xf numFmtId="166" fontId="0" fillId="17" borderId="53" xfId="19" applyNumberFormat="1" applyFont="1" applyFill="1" applyBorder="1"/>
    <xf numFmtId="166" fontId="0" fillId="17" borderId="23" xfId="19" applyNumberFormat="1" applyFont="1" applyFill="1" applyBorder="1"/>
    <xf numFmtId="166" fontId="26" fillId="20" borderId="11" xfId="19" applyNumberFormat="1" applyFont="1" applyFill="1" applyBorder="1" applyAlignment="1"/>
    <xf numFmtId="166" fontId="26" fillId="20" borderId="11" xfId="19" applyNumberFormat="1" applyFont="1" applyFill="1" applyBorder="1"/>
    <xf numFmtId="166" fontId="26" fillId="19" borderId="11" xfId="19" applyNumberFormat="1" applyFont="1" applyFill="1" applyBorder="1"/>
    <xf numFmtId="166" fontId="26" fillId="18" borderId="11" xfId="19" applyNumberFormat="1" applyFont="1" applyFill="1" applyBorder="1"/>
    <xf numFmtId="166" fontId="0" fillId="17" borderId="23" xfId="19" applyNumberFormat="1" applyFont="1" applyFill="1" applyBorder="1" applyAlignment="1"/>
    <xf numFmtId="166" fontId="26" fillId="17" borderId="53" xfId="19" applyNumberFormat="1" applyFont="1" applyFill="1" applyBorder="1"/>
    <xf numFmtId="166" fontId="26" fillId="3" borderId="11" xfId="19" applyNumberFormat="1" applyFont="1" applyFill="1" applyBorder="1"/>
    <xf numFmtId="0" fontId="26" fillId="0" borderId="0" xfId="18" applyFont="1" applyAlignment="1">
      <alignment horizontal="center" vertical="center"/>
    </xf>
    <xf numFmtId="0" fontId="26" fillId="0" borderId="0" xfId="18" applyFont="1" applyAlignment="1">
      <alignment vertical="center"/>
    </xf>
    <xf numFmtId="166" fontId="26" fillId="0" borderId="71" xfId="19" applyNumberFormat="1" applyFont="1" applyFill="1" applyBorder="1"/>
    <xf numFmtId="166" fontId="26" fillId="17" borderId="40" xfId="19" applyNumberFormat="1" applyFont="1" applyFill="1" applyBorder="1"/>
    <xf numFmtId="166" fontId="26" fillId="20" borderId="20" xfId="19" applyNumberFormat="1" applyFont="1" applyFill="1" applyBorder="1"/>
    <xf numFmtId="166" fontId="26" fillId="19" borderId="20" xfId="19" applyNumberFormat="1" applyFont="1" applyFill="1" applyBorder="1"/>
    <xf numFmtId="166" fontId="26" fillId="18" borderId="20" xfId="19" applyNumberFormat="1" applyFont="1" applyFill="1" applyBorder="1"/>
    <xf numFmtId="166" fontId="0" fillId="17" borderId="16" xfId="19" applyNumberFormat="1" applyFont="1" applyFill="1" applyBorder="1"/>
    <xf numFmtId="0" fontId="26" fillId="0" borderId="63" xfId="18" applyFont="1" applyBorder="1" applyAlignment="1">
      <alignment vertical="center"/>
    </xf>
    <xf numFmtId="166" fontId="26" fillId="17" borderId="28" xfId="19" applyNumberFormat="1" applyFont="1" applyFill="1" applyBorder="1"/>
    <xf numFmtId="166" fontId="26" fillId="20" borderId="27" xfId="19" applyNumberFormat="1" applyFont="1" applyFill="1" applyBorder="1"/>
    <xf numFmtId="166" fontId="26" fillId="19" borderId="27" xfId="19" applyNumberFormat="1" applyFont="1" applyFill="1" applyBorder="1"/>
    <xf numFmtId="166" fontId="26" fillId="18" borderId="27" xfId="19" applyNumberFormat="1" applyFont="1" applyFill="1" applyBorder="1"/>
    <xf numFmtId="166" fontId="26" fillId="17" borderId="26" xfId="19" applyNumberFormat="1" applyFont="1" applyFill="1" applyBorder="1"/>
    <xf numFmtId="0" fontId="26" fillId="0" borderId="61" xfId="18" applyFont="1" applyBorder="1"/>
    <xf numFmtId="166" fontId="26" fillId="17" borderId="15" xfId="19" applyNumberFormat="1" applyFont="1" applyFill="1" applyBorder="1"/>
    <xf numFmtId="166" fontId="26" fillId="18" borderId="10" xfId="19" applyNumberFormat="1" applyFont="1" applyFill="1" applyBorder="1"/>
    <xf numFmtId="166" fontId="26" fillId="17" borderId="23" xfId="19" applyNumberFormat="1" applyFont="1" applyFill="1" applyBorder="1"/>
    <xf numFmtId="166" fontId="1" fillId="7" borderId="50" xfId="17" applyNumberFormat="1" applyFill="1" applyBorder="1"/>
    <xf numFmtId="166" fontId="26" fillId="0" borderId="15" xfId="19" applyNumberFormat="1" applyFont="1" applyFill="1" applyBorder="1"/>
    <xf numFmtId="166" fontId="26" fillId="0" borderId="11" xfId="19" applyNumberFormat="1" applyFont="1" applyFill="1" applyBorder="1"/>
    <xf numFmtId="166" fontId="26" fillId="3" borderId="23" xfId="19" applyNumberFormat="1" applyFont="1" applyFill="1" applyBorder="1" applyAlignment="1">
      <alignment horizontal="center"/>
    </xf>
    <xf numFmtId="0" fontId="26" fillId="0" borderId="60" xfId="18" applyFont="1" applyBorder="1" applyAlignment="1">
      <alignment vertical="center"/>
    </xf>
    <xf numFmtId="166" fontId="26" fillId="17" borderId="16" xfId="19" applyNumberFormat="1" applyFont="1" applyFill="1" applyBorder="1" applyAlignment="1">
      <alignment horizontal="center"/>
    </xf>
    <xf numFmtId="0" fontId="26" fillId="0" borderId="72" xfId="18" applyFont="1" applyBorder="1" applyAlignment="1">
      <alignment horizontal="right"/>
    </xf>
    <xf numFmtId="0" fontId="26" fillId="0" borderId="62" xfId="18" applyFont="1" applyBorder="1" applyAlignment="1">
      <alignment vertical="center"/>
    </xf>
    <xf numFmtId="0" fontId="37" fillId="16" borderId="71" xfId="18" applyFont="1" applyFill="1" applyBorder="1" applyAlignment="1">
      <alignment horizontal="center"/>
    </xf>
    <xf numFmtId="0" fontId="37" fillId="17" borderId="9" xfId="18" applyFont="1" applyFill="1" applyBorder="1" applyAlignment="1">
      <alignment horizontal="center"/>
    </xf>
    <xf numFmtId="0" fontId="37" fillId="20" borderId="8" xfId="18" applyFont="1" applyFill="1" applyBorder="1" applyAlignment="1">
      <alignment horizontal="center"/>
    </xf>
    <xf numFmtId="0" fontId="37" fillId="19" borderId="8" xfId="18" applyFont="1" applyFill="1" applyBorder="1" applyAlignment="1">
      <alignment horizontal="center"/>
    </xf>
    <xf numFmtId="0" fontId="37" fillId="19" borderId="19" xfId="18" applyFont="1" applyFill="1" applyBorder="1" applyAlignment="1">
      <alignment horizontal="center"/>
    </xf>
    <xf numFmtId="0" fontId="37" fillId="18" borderId="19" xfId="18" applyFont="1" applyFill="1" applyBorder="1" applyAlignment="1">
      <alignment horizontal="center"/>
    </xf>
    <xf numFmtId="0" fontId="37" fillId="17" borderId="18" xfId="18" applyFont="1" applyFill="1" applyBorder="1" applyAlignment="1">
      <alignment horizontal="center"/>
    </xf>
    <xf numFmtId="166" fontId="0" fillId="0" borderId="0" xfId="19" applyNumberFormat="1" applyFont="1" applyFill="1" applyAlignment="1" applyProtection="1"/>
    <xf numFmtId="0" fontId="1" fillId="0" borderId="0" xfId="17" applyAlignment="1">
      <alignment vertical="center"/>
    </xf>
    <xf numFmtId="166" fontId="0" fillId="0" borderId="0" xfId="19" applyNumberFormat="1" applyFont="1" applyFill="1" applyBorder="1" applyAlignment="1" applyProtection="1"/>
    <xf numFmtId="0" fontId="1" fillId="0" borderId="34" xfId="17" applyBorder="1"/>
    <xf numFmtId="0" fontId="1" fillId="0" borderId="6" xfId="17" applyBorder="1"/>
    <xf numFmtId="166" fontId="0" fillId="19" borderId="50" xfId="19" applyNumberFormat="1" applyFont="1" applyFill="1" applyBorder="1" applyAlignment="1" applyProtection="1"/>
    <xf numFmtId="0" fontId="1" fillId="0" borderId="17" xfId="17" applyBorder="1"/>
    <xf numFmtId="0" fontId="1" fillId="19" borderId="25" xfId="17" applyFill="1" applyBorder="1"/>
    <xf numFmtId="0" fontId="1" fillId="19" borderId="35" xfId="17" applyFill="1" applyBorder="1"/>
    <xf numFmtId="166" fontId="0" fillId="19" borderId="35" xfId="19" applyNumberFormat="1" applyFont="1" applyFill="1" applyBorder="1" applyAlignment="1" applyProtection="1"/>
    <xf numFmtId="166" fontId="0" fillId="24" borderId="67" xfId="19" applyNumberFormat="1" applyFont="1" applyFill="1" applyBorder="1" applyAlignment="1" applyProtection="1"/>
    <xf numFmtId="166" fontId="0" fillId="0" borderId="6" xfId="19" applyNumberFormat="1" applyFont="1" applyFill="1" applyBorder="1" applyAlignment="1" applyProtection="1"/>
    <xf numFmtId="0" fontId="1" fillId="0" borderId="33" xfId="17" applyBorder="1"/>
    <xf numFmtId="0" fontId="1" fillId="24" borderId="25" xfId="17" applyFill="1" applyBorder="1"/>
    <xf numFmtId="0" fontId="1" fillId="24" borderId="35" xfId="17" applyFill="1" applyBorder="1"/>
    <xf numFmtId="166" fontId="0" fillId="24" borderId="35" xfId="19" applyNumberFormat="1" applyFont="1" applyFill="1" applyBorder="1" applyAlignment="1" applyProtection="1"/>
    <xf numFmtId="166" fontId="0" fillId="8" borderId="67" xfId="19" applyNumberFormat="1" applyFont="1" applyFill="1" applyBorder="1" applyAlignment="1" applyProtection="1"/>
    <xf numFmtId="0" fontId="1" fillId="8" borderId="25" xfId="17" applyFill="1" applyBorder="1"/>
    <xf numFmtId="0" fontId="1" fillId="8" borderId="35" xfId="17" applyFill="1" applyBorder="1"/>
    <xf numFmtId="166" fontId="0" fillId="8" borderId="35" xfId="19" applyNumberFormat="1" applyFont="1" applyFill="1" applyBorder="1" applyAlignment="1" applyProtection="1"/>
    <xf numFmtId="166" fontId="0" fillId="21" borderId="67" xfId="19" applyNumberFormat="1" applyFont="1" applyFill="1" applyBorder="1" applyAlignment="1" applyProtection="1"/>
    <xf numFmtId="0" fontId="1" fillId="21" borderId="25" xfId="17" applyFill="1" applyBorder="1"/>
    <xf numFmtId="0" fontId="1" fillId="21" borderId="35" xfId="17" applyFill="1" applyBorder="1"/>
    <xf numFmtId="166" fontId="0" fillId="21" borderId="35" xfId="19" applyNumberFormat="1" applyFont="1" applyFill="1" applyBorder="1" applyAlignment="1" applyProtection="1"/>
    <xf numFmtId="166" fontId="0" fillId="17" borderId="50" xfId="19" applyNumberFormat="1" applyFont="1" applyFill="1" applyBorder="1" applyAlignment="1" applyProtection="1"/>
    <xf numFmtId="0" fontId="1" fillId="17" borderId="25" xfId="17" applyFill="1" applyBorder="1"/>
    <xf numFmtId="0" fontId="1" fillId="17" borderId="35" xfId="17" applyFill="1" applyBorder="1"/>
    <xf numFmtId="166" fontId="0" fillId="17" borderId="35" xfId="19" applyNumberFormat="1" applyFont="1" applyFill="1" applyBorder="1" applyAlignment="1" applyProtection="1"/>
    <xf numFmtId="166" fontId="0" fillId="16" borderId="50" xfId="19" applyNumberFormat="1" applyFont="1" applyFill="1" applyBorder="1" applyAlignment="1" applyProtection="1"/>
    <xf numFmtId="0" fontId="1" fillId="24" borderId="0" xfId="17" applyFill="1"/>
    <xf numFmtId="166" fontId="0" fillId="24" borderId="0" xfId="19" applyNumberFormat="1" applyFont="1" applyFill="1" applyBorder="1" applyAlignment="1" applyProtection="1"/>
    <xf numFmtId="166" fontId="0" fillId="18" borderId="50" xfId="19" applyNumberFormat="1" applyFont="1" applyFill="1" applyBorder="1" applyAlignment="1" applyProtection="1"/>
    <xf numFmtId="0" fontId="1" fillId="18" borderId="25" xfId="17" applyFill="1" applyBorder="1"/>
    <xf numFmtId="0" fontId="1" fillId="18" borderId="35" xfId="17" applyFill="1" applyBorder="1"/>
    <xf numFmtId="166" fontId="0" fillId="18" borderId="35" xfId="19" applyNumberFormat="1" applyFont="1" applyFill="1" applyBorder="1" applyAlignment="1" applyProtection="1"/>
    <xf numFmtId="166" fontId="0" fillId="13" borderId="50" xfId="19" applyNumberFormat="1" applyFont="1" applyFill="1" applyBorder="1" applyAlignment="1" applyProtection="1"/>
    <xf numFmtId="0" fontId="1" fillId="13" borderId="56" xfId="17" applyFill="1" applyBorder="1"/>
    <xf numFmtId="0" fontId="1" fillId="13" borderId="55" xfId="17" applyFill="1" applyBorder="1"/>
    <xf numFmtId="166" fontId="0" fillId="13" borderId="55" xfId="19" applyNumberFormat="1" applyFont="1" applyFill="1" applyBorder="1" applyAlignment="1" applyProtection="1"/>
    <xf numFmtId="0" fontId="1" fillId="0" borderId="14" xfId="17" applyBorder="1" applyAlignment="1">
      <alignment vertical="center"/>
    </xf>
    <xf numFmtId="0" fontId="9" fillId="0" borderId="0" xfId="17" applyFont="1"/>
    <xf numFmtId="0" fontId="37" fillId="0" borderId="0" xfId="17" applyFont="1"/>
    <xf numFmtId="0" fontId="37" fillId="0" borderId="0" xfId="17" applyFont="1" applyAlignment="1">
      <alignment horizontal="center"/>
    </xf>
    <xf numFmtId="0" fontId="9" fillId="17" borderId="18" xfId="17" applyFont="1" applyFill="1" applyBorder="1"/>
    <xf numFmtId="0" fontId="9" fillId="17" borderId="59" xfId="17" applyFont="1" applyFill="1" applyBorder="1"/>
    <xf numFmtId="0" fontId="37" fillId="0" borderId="62" xfId="18" applyFont="1" applyBorder="1" applyAlignment="1">
      <alignment vertical="center"/>
    </xf>
    <xf numFmtId="0" fontId="37" fillId="0" borderId="72" xfId="18" applyFont="1" applyBorder="1" applyAlignment="1">
      <alignment horizontal="right"/>
    </xf>
    <xf numFmtId="166" fontId="37" fillId="17" borderId="16" xfId="19" applyNumberFormat="1" applyFont="1" applyFill="1" applyBorder="1" applyAlignment="1">
      <alignment horizontal="center"/>
    </xf>
    <xf numFmtId="166" fontId="37" fillId="18" borderId="11" xfId="19" applyNumberFormat="1" applyFont="1" applyFill="1" applyBorder="1"/>
    <xf numFmtId="166" fontId="37" fillId="18" borderId="20" xfId="19" applyNumberFormat="1" applyFont="1" applyFill="1" applyBorder="1"/>
    <xf numFmtId="166" fontId="37" fillId="19" borderId="20" xfId="19" applyNumberFormat="1" applyFont="1" applyFill="1" applyBorder="1"/>
    <xf numFmtId="166" fontId="37" fillId="19" borderId="11" xfId="19" applyNumberFormat="1" applyFont="1" applyFill="1" applyBorder="1"/>
    <xf numFmtId="166" fontId="37" fillId="20" borderId="11" xfId="19" applyNumberFormat="1" applyFont="1" applyFill="1" applyBorder="1"/>
    <xf numFmtId="166" fontId="37" fillId="20" borderId="11" xfId="19" applyNumberFormat="1" applyFont="1" applyFill="1" applyBorder="1" applyAlignment="1"/>
    <xf numFmtId="166" fontId="37" fillId="17" borderId="15" xfId="19" applyNumberFormat="1" applyFont="1" applyFill="1" applyBorder="1"/>
    <xf numFmtId="166" fontId="37" fillId="0" borderId="70" xfId="19" applyNumberFormat="1" applyFont="1" applyFill="1" applyBorder="1"/>
    <xf numFmtId="166" fontId="37" fillId="0" borderId="0" xfId="19" applyNumberFormat="1" applyFont="1" applyFill="1" applyBorder="1"/>
    <xf numFmtId="0" fontId="37" fillId="0" borderId="60" xfId="18" applyFont="1" applyBorder="1" applyAlignment="1">
      <alignment vertical="center"/>
    </xf>
    <xf numFmtId="0" fontId="37" fillId="0" borderId="61" xfId="18" applyFont="1" applyBorder="1" applyAlignment="1">
      <alignment horizontal="right"/>
    </xf>
    <xf numFmtId="166" fontId="37" fillId="17" borderId="23" xfId="19" applyNumberFormat="1" applyFont="1" applyFill="1" applyBorder="1" applyAlignment="1">
      <alignment horizontal="center"/>
    </xf>
    <xf numFmtId="0" fontId="37" fillId="0" borderId="61" xfId="18" applyFont="1" applyBorder="1"/>
    <xf numFmtId="166" fontId="37" fillId="3" borderId="23" xfId="19" applyNumberFormat="1" applyFont="1" applyFill="1" applyBorder="1" applyAlignment="1">
      <alignment horizontal="center"/>
    </xf>
    <xf numFmtId="166" fontId="37" fillId="0" borderId="23" xfId="19" applyNumberFormat="1" applyFont="1" applyFill="1" applyBorder="1" applyAlignment="1">
      <alignment horizontal="center"/>
    </xf>
    <xf numFmtId="166" fontId="37" fillId="0" borderId="11" xfId="19" applyNumberFormat="1" applyFont="1" applyFill="1" applyBorder="1" applyAlignment="1">
      <alignment horizontal="center"/>
    </xf>
    <xf numFmtId="166" fontId="37" fillId="0" borderId="11" xfId="19" applyNumberFormat="1" applyFont="1" applyFill="1" applyBorder="1"/>
    <xf numFmtId="166" fontId="37" fillId="0" borderId="15" xfId="19" applyNumberFormat="1" applyFont="1" applyFill="1" applyBorder="1"/>
    <xf numFmtId="166" fontId="37" fillId="0" borderId="15" xfId="19" applyNumberFormat="1" applyFont="1" applyFill="1" applyBorder="1" applyAlignment="1">
      <alignment horizontal="center"/>
    </xf>
    <xf numFmtId="166" fontId="37" fillId="16" borderId="23" xfId="19" applyNumberFormat="1" applyFont="1" applyFill="1" applyBorder="1" applyAlignment="1">
      <alignment horizontal="center"/>
    </xf>
    <xf numFmtId="166" fontId="37" fillId="16" borderId="11" xfId="19" applyNumberFormat="1" applyFont="1" applyFill="1" applyBorder="1" applyAlignment="1">
      <alignment horizontal="center"/>
    </xf>
    <xf numFmtId="166" fontId="37" fillId="16" borderId="15" xfId="19" applyNumberFormat="1" applyFont="1" applyFill="1" applyBorder="1" applyAlignment="1">
      <alignment horizontal="center"/>
    </xf>
    <xf numFmtId="166" fontId="37" fillId="17" borderId="23" xfId="19" applyNumberFormat="1" applyFont="1" applyFill="1" applyBorder="1"/>
    <xf numFmtId="166" fontId="37" fillId="18" borderId="10" xfId="19" applyNumberFormat="1" applyFont="1" applyFill="1" applyBorder="1"/>
    <xf numFmtId="166" fontId="37" fillId="17" borderId="26" xfId="19" applyNumberFormat="1" applyFont="1" applyFill="1" applyBorder="1"/>
    <xf numFmtId="166" fontId="37" fillId="18" borderId="27" xfId="19" applyNumberFormat="1" applyFont="1" applyFill="1" applyBorder="1"/>
    <xf numFmtId="166" fontId="37" fillId="19" borderId="27" xfId="19" applyNumberFormat="1" applyFont="1" applyFill="1" applyBorder="1"/>
    <xf numFmtId="166" fontId="37" fillId="20" borderId="27" xfId="19" applyNumberFormat="1" applyFont="1" applyFill="1" applyBorder="1"/>
    <xf numFmtId="166" fontId="37" fillId="17" borderId="28" xfId="19" applyNumberFormat="1" applyFont="1" applyFill="1" applyBorder="1"/>
    <xf numFmtId="166" fontId="37" fillId="0" borderId="69" xfId="19" applyNumberFormat="1" applyFont="1" applyFill="1" applyBorder="1"/>
    <xf numFmtId="0" fontId="37" fillId="0" borderId="63" xfId="18" applyFont="1" applyBorder="1" applyAlignment="1">
      <alignment vertical="center"/>
    </xf>
    <xf numFmtId="166" fontId="20" fillId="17" borderId="16" xfId="19" applyNumberFormat="1" applyFont="1" applyFill="1" applyBorder="1"/>
    <xf numFmtId="166" fontId="37" fillId="20" borderId="20" xfId="19" applyNumberFormat="1" applyFont="1" applyFill="1" applyBorder="1"/>
    <xf numFmtId="166" fontId="37" fillId="17" borderId="40" xfId="19" applyNumberFormat="1" applyFont="1" applyFill="1" applyBorder="1"/>
    <xf numFmtId="166" fontId="37" fillId="0" borderId="71" xfId="19" applyNumberFormat="1" applyFont="1" applyFill="1" applyBorder="1"/>
    <xf numFmtId="0" fontId="37" fillId="0" borderId="0" xfId="18" applyFont="1" applyAlignment="1">
      <alignment vertical="center"/>
    </xf>
    <xf numFmtId="166" fontId="20" fillId="17" borderId="23" xfId="19" applyNumberFormat="1" applyFont="1" applyFill="1" applyBorder="1" applyAlignment="1"/>
    <xf numFmtId="166" fontId="37" fillId="17" borderId="53" xfId="19" applyNumberFormat="1" applyFont="1" applyFill="1" applyBorder="1"/>
    <xf numFmtId="0" fontId="37" fillId="0" borderId="0" xfId="18" applyFont="1" applyAlignment="1">
      <alignment horizontal="center" vertical="center"/>
    </xf>
    <xf numFmtId="0" fontId="37" fillId="0" borderId="0" xfId="18" applyFont="1" applyAlignment="1">
      <alignment horizontal="right"/>
    </xf>
    <xf numFmtId="0" fontId="9" fillId="0" borderId="0" xfId="17" applyFont="1" applyAlignment="1">
      <alignment vertical="center" wrapText="1"/>
    </xf>
    <xf numFmtId="0" fontId="9" fillId="0" borderId="0" xfId="17" applyFont="1" applyAlignment="1">
      <alignment horizontal="right"/>
    </xf>
    <xf numFmtId="166" fontId="20" fillId="17" borderId="23" xfId="19" applyNumberFormat="1" applyFont="1" applyFill="1" applyBorder="1"/>
    <xf numFmtId="166" fontId="20" fillId="17" borderId="53" xfId="19" applyNumberFormat="1" applyFont="1" applyFill="1" applyBorder="1"/>
    <xf numFmtId="166" fontId="20" fillId="18" borderId="11" xfId="19" applyNumberFormat="1" applyFont="1" applyFill="1" applyBorder="1"/>
    <xf numFmtId="166" fontId="20" fillId="19" borderId="11" xfId="19" applyNumberFormat="1" applyFont="1" applyFill="1" applyBorder="1"/>
    <xf numFmtId="166" fontId="20" fillId="20" borderId="11" xfId="19" applyNumberFormat="1" applyFont="1" applyFill="1" applyBorder="1"/>
    <xf numFmtId="166" fontId="20" fillId="17" borderId="26" xfId="19" applyNumberFormat="1" applyFont="1" applyFill="1" applyBorder="1"/>
    <xf numFmtId="166" fontId="20" fillId="18" borderId="27" xfId="19" applyNumberFormat="1" applyFont="1" applyFill="1" applyBorder="1"/>
    <xf numFmtId="166" fontId="20" fillId="19" borderId="27" xfId="19" applyNumberFormat="1" applyFont="1" applyFill="1" applyBorder="1"/>
    <xf numFmtId="166" fontId="20" fillId="20" borderId="27" xfId="19" applyNumberFormat="1" applyFont="1" applyFill="1" applyBorder="1"/>
    <xf numFmtId="166" fontId="20" fillId="17" borderId="54" xfId="19" applyNumberFormat="1" applyFont="1" applyFill="1" applyBorder="1"/>
    <xf numFmtId="166" fontId="37" fillId="18" borderId="11" xfId="19" applyNumberFormat="1" applyFont="1" applyFill="1" applyBorder="1" applyAlignment="1">
      <alignment horizontal="center"/>
    </xf>
    <xf numFmtId="166" fontId="37" fillId="19" borderId="11" xfId="19" applyNumberFormat="1" applyFont="1" applyFill="1" applyBorder="1" applyAlignment="1">
      <alignment horizontal="center"/>
    </xf>
    <xf numFmtId="166" fontId="37" fillId="20" borderId="11" xfId="19" applyNumberFormat="1" applyFont="1" applyFill="1" applyBorder="1" applyAlignment="1">
      <alignment horizontal="center"/>
    </xf>
    <xf numFmtId="166" fontId="37" fillId="17" borderId="15" xfId="19" applyNumberFormat="1" applyFont="1" applyFill="1" applyBorder="1" applyAlignment="1">
      <alignment horizontal="center"/>
    </xf>
    <xf numFmtId="166" fontId="37" fillId="0" borderId="0" xfId="19" applyNumberFormat="1" applyFont="1" applyFill="1" applyBorder="1" applyAlignment="1">
      <alignment horizontal="center"/>
    </xf>
    <xf numFmtId="166" fontId="37" fillId="16" borderId="18" xfId="19" applyNumberFormat="1" applyFont="1" applyFill="1" applyBorder="1"/>
    <xf numFmtId="166" fontId="37" fillId="16" borderId="19" xfId="19" applyNumberFormat="1" applyFont="1" applyFill="1" applyBorder="1"/>
    <xf numFmtId="166" fontId="37" fillId="16" borderId="59" xfId="19" applyNumberFormat="1" applyFont="1" applyFill="1" applyBorder="1"/>
    <xf numFmtId="0" fontId="9" fillId="16" borderId="0" xfId="17" applyFont="1" applyFill="1"/>
    <xf numFmtId="43" fontId="20" fillId="0" borderId="0" xfId="19" applyFont="1" applyFill="1"/>
    <xf numFmtId="166" fontId="9" fillId="0" borderId="32" xfId="17" applyNumberFormat="1" applyFont="1" applyBorder="1"/>
    <xf numFmtId="166" fontId="9" fillId="0" borderId="50" xfId="17" applyNumberFormat="1" applyFont="1" applyBorder="1"/>
    <xf numFmtId="9" fontId="9" fillId="0" borderId="0" xfId="17" applyNumberFormat="1" applyFont="1"/>
    <xf numFmtId="172" fontId="9" fillId="21" borderId="18" xfId="17" applyNumberFormat="1" applyFont="1" applyFill="1" applyBorder="1"/>
    <xf numFmtId="172" fontId="9" fillId="21" borderId="19" xfId="17" applyNumberFormat="1" applyFont="1" applyFill="1" applyBorder="1"/>
    <xf numFmtId="172" fontId="9" fillId="21" borderId="59" xfId="17" applyNumberFormat="1" applyFont="1" applyFill="1" applyBorder="1"/>
    <xf numFmtId="166" fontId="9" fillId="22" borderId="32" xfId="17" applyNumberFormat="1" applyFont="1" applyFill="1" applyBorder="1"/>
    <xf numFmtId="166" fontId="9" fillId="16" borderId="18" xfId="17" applyNumberFormat="1" applyFont="1" applyFill="1" applyBorder="1"/>
    <xf numFmtId="166" fontId="9" fillId="16" borderId="19" xfId="17" applyNumberFormat="1" applyFont="1" applyFill="1" applyBorder="1"/>
    <xf numFmtId="166" fontId="9" fillId="16" borderId="59" xfId="17" applyNumberFormat="1" applyFont="1" applyFill="1" applyBorder="1"/>
    <xf numFmtId="166" fontId="9" fillId="7" borderId="32" xfId="17" applyNumberFormat="1" applyFont="1" applyFill="1" applyBorder="1"/>
    <xf numFmtId="171" fontId="9" fillId="0" borderId="0" xfId="17" applyNumberFormat="1" applyFont="1"/>
    <xf numFmtId="171" fontId="37" fillId="0" borderId="0" xfId="17" applyNumberFormat="1" applyFont="1"/>
    <xf numFmtId="166" fontId="0" fillId="0" borderId="0" xfId="0" applyNumberFormat="1"/>
    <xf numFmtId="0" fontId="31" fillId="0" borderId="0" xfId="18" applyFont="1"/>
    <xf numFmtId="0" fontId="31" fillId="0" borderId="0" xfId="18" applyFont="1" applyAlignment="1">
      <alignment horizontal="right"/>
    </xf>
    <xf numFmtId="0" fontId="5" fillId="5" borderId="0" xfId="3" applyFont="1" applyFill="1" applyAlignment="1">
      <alignment horizontal="center" vertical="top"/>
    </xf>
    <xf numFmtId="0" fontId="5" fillId="0" borderId="0" xfId="3" applyFont="1" applyAlignment="1">
      <alignment horizontal="center" vertical="top"/>
    </xf>
    <xf numFmtId="0" fontId="14" fillId="4" borderId="0" xfId="3" applyFont="1" applyFill="1" applyAlignment="1">
      <alignment horizontal="center"/>
    </xf>
    <xf numFmtId="0" fontId="38" fillId="0" borderId="0" xfId="17" applyFont="1"/>
    <xf numFmtId="0" fontId="38" fillId="0" borderId="0" xfId="0" applyFont="1" applyAlignment="1">
      <alignment vertical="center"/>
    </xf>
    <xf numFmtId="0" fontId="38" fillId="0" borderId="0" xfId="17" applyFont="1" applyAlignment="1">
      <alignment vertical="center"/>
    </xf>
    <xf numFmtId="166" fontId="33" fillId="0" borderId="0" xfId="19" applyNumberFormat="1" applyFont="1" applyFill="1" applyBorder="1"/>
    <xf numFmtId="3" fontId="9" fillId="0" borderId="0" xfId="17" applyNumberFormat="1" applyFont="1"/>
    <xf numFmtId="0" fontId="39" fillId="0" borderId="0" xfId="18" applyFont="1" applyAlignment="1">
      <alignment vertical="center"/>
    </xf>
    <xf numFmtId="0" fontId="9" fillId="0" borderId="14" xfId="3" applyFont="1" applyBorder="1"/>
    <xf numFmtId="0" fontId="9" fillId="0" borderId="14" xfId="17" applyFont="1" applyBorder="1" applyAlignment="1">
      <alignment horizontal="right"/>
    </xf>
    <xf numFmtId="0" fontId="9" fillId="0" borderId="14" xfId="3" applyFont="1" applyBorder="1" applyAlignment="1">
      <alignment horizontal="right"/>
    </xf>
    <xf numFmtId="164" fontId="9" fillId="0" borderId="0" xfId="17" applyNumberFormat="1" applyFont="1"/>
    <xf numFmtId="0" fontId="30" fillId="0" borderId="0" xfId="3" applyFont="1"/>
    <xf numFmtId="0" fontId="10" fillId="11" borderId="11" xfId="3" applyFont="1" applyFill="1" applyBorder="1" applyAlignment="1">
      <alignment horizontal="right" vertical="center" wrapText="1"/>
    </xf>
    <xf numFmtId="0" fontId="10" fillId="11" borderId="11" xfId="3" applyFont="1" applyFill="1" applyBorder="1" applyAlignment="1">
      <alignment horizontal="center" vertical="center" wrapText="1"/>
    </xf>
    <xf numFmtId="169" fontId="0" fillId="0" borderId="0" xfId="0" applyNumberFormat="1" applyAlignment="1">
      <alignment horizontal="left" vertical="top"/>
    </xf>
    <xf numFmtId="0" fontId="30" fillId="0" borderId="0" xfId="0" applyFont="1" applyAlignment="1">
      <alignment horizontal="left" vertical="center" indent="1"/>
    </xf>
    <xf numFmtId="164" fontId="30" fillId="0" borderId="0" xfId="1" applyNumberFormat="1" applyFont="1" applyFill="1" applyAlignment="1">
      <alignment vertical="center"/>
    </xf>
    <xf numFmtId="164" fontId="29" fillId="0" borderId="0" xfId="0" applyNumberFormat="1" applyFont="1" applyAlignment="1">
      <alignment horizontal="left" vertical="top"/>
    </xf>
    <xf numFmtId="0" fontId="35" fillId="25" borderId="0" xfId="0" applyFont="1" applyFill="1" applyAlignment="1">
      <alignment vertical="center"/>
    </xf>
    <xf numFmtId="0" fontId="34" fillId="25" borderId="0" xfId="0" applyFont="1" applyFill="1" applyAlignment="1">
      <alignment vertical="center"/>
    </xf>
    <xf numFmtId="0" fontId="17" fillId="2" borderId="1" xfId="0" applyFont="1" applyFill="1" applyBorder="1" applyAlignment="1">
      <alignment horizontal="left" vertical="top" wrapText="1" indent="1"/>
    </xf>
    <xf numFmtId="0" fontId="41" fillId="0" borderId="0" xfId="0" applyFont="1" applyAlignment="1">
      <alignment horizontal="left" vertical="top"/>
    </xf>
    <xf numFmtId="0" fontId="42" fillId="0" borderId="0" xfId="0" applyFont="1" applyAlignment="1">
      <alignment horizontal="left" vertical="center"/>
    </xf>
    <xf numFmtId="9" fontId="2" fillId="0" borderId="0" xfId="3" applyNumberFormat="1"/>
    <xf numFmtId="6" fontId="0" fillId="3" borderId="0" xfId="0" applyNumberFormat="1" applyFill="1" applyAlignment="1">
      <alignment horizontal="left" vertical="top"/>
    </xf>
    <xf numFmtId="0" fontId="12" fillId="10" borderId="21" xfId="3" applyFont="1" applyFill="1" applyBorder="1" applyAlignment="1">
      <alignment horizontal="center" vertical="center" wrapText="1"/>
    </xf>
    <xf numFmtId="0" fontId="12" fillId="10" borderId="11" xfId="3" applyFont="1" applyFill="1" applyBorder="1" applyAlignment="1">
      <alignment horizontal="center" vertical="center" wrapText="1"/>
    </xf>
    <xf numFmtId="164" fontId="42" fillId="0" borderId="0" xfId="0" applyNumberFormat="1" applyFont="1" applyAlignment="1">
      <alignment vertical="center"/>
    </xf>
    <xf numFmtId="10" fontId="0" fillId="0" borderId="34" xfId="5" applyNumberFormat="1" applyFont="1" applyBorder="1"/>
    <xf numFmtId="1" fontId="4" fillId="0" borderId="0" xfId="1" applyNumberFormat="1" applyFont="1" applyFill="1" applyBorder="1" applyAlignment="1">
      <alignment horizontal="center" vertical="top" wrapText="1"/>
    </xf>
    <xf numFmtId="164" fontId="35" fillId="0" borderId="38" xfId="1" applyNumberFormat="1" applyFont="1" applyFill="1" applyBorder="1" applyAlignment="1">
      <alignment vertical="center"/>
    </xf>
    <xf numFmtId="0" fontId="29" fillId="0" borderId="38" xfId="0" applyFont="1" applyBorder="1" applyAlignment="1">
      <alignment horizontal="left" vertical="top"/>
    </xf>
    <xf numFmtId="164" fontId="42" fillId="0" borderId="38" xfId="0" applyNumberFormat="1" applyFont="1" applyBorder="1" applyAlignment="1">
      <alignment vertical="center"/>
    </xf>
    <xf numFmtId="164" fontId="35" fillId="0" borderId="39" xfId="1" applyNumberFormat="1" applyFont="1" applyFill="1" applyBorder="1" applyAlignment="1">
      <alignment vertical="center"/>
    </xf>
    <xf numFmtId="0" fontId="29" fillId="0" borderId="39" xfId="0" applyFont="1" applyBorder="1" applyAlignment="1">
      <alignment horizontal="left" vertical="top"/>
    </xf>
    <xf numFmtId="164" fontId="42" fillId="0" borderId="39" xfId="0" applyNumberFormat="1" applyFont="1" applyBorder="1" applyAlignment="1">
      <alignment vertical="center"/>
    </xf>
    <xf numFmtId="0" fontId="0" fillId="0" borderId="39" xfId="0" applyBorder="1" applyAlignment="1">
      <alignment horizontal="left" vertical="top"/>
    </xf>
    <xf numFmtId="0" fontId="0" fillId="0" borderId="38" xfId="0" applyBorder="1" applyAlignment="1">
      <alignment horizontal="left" vertical="top"/>
    </xf>
    <xf numFmtId="164" fontId="4" fillId="0" borderId="38" xfId="1" applyNumberFormat="1" applyFont="1" applyFill="1" applyBorder="1" applyAlignment="1">
      <alignment horizontal="center" vertical="top" wrapText="1"/>
    </xf>
    <xf numFmtId="164" fontId="0" fillId="0" borderId="38" xfId="1" applyNumberFormat="1" applyFont="1" applyFill="1" applyBorder="1" applyAlignment="1">
      <alignment horizontal="left" vertical="top"/>
    </xf>
    <xf numFmtId="2" fontId="0" fillId="0" borderId="38" xfId="0" applyNumberFormat="1" applyBorder="1" applyAlignment="1">
      <alignment horizontal="center" vertical="top"/>
    </xf>
    <xf numFmtId="2" fontId="0" fillId="0" borderId="0" xfId="0" applyNumberFormat="1" applyAlignment="1">
      <alignment horizontal="center" vertical="top"/>
    </xf>
    <xf numFmtId="164" fontId="0" fillId="4" borderId="54" xfId="0" applyNumberFormat="1" applyFill="1" applyBorder="1" applyAlignment="1">
      <alignment horizontal="left" vertical="top"/>
    </xf>
    <xf numFmtId="164" fontId="2" fillId="0" borderId="38" xfId="3" applyNumberFormat="1" applyBorder="1"/>
    <xf numFmtId="164" fontId="3" fillId="0" borderId="75" xfId="0" applyNumberFormat="1" applyFont="1" applyBorder="1" applyAlignment="1">
      <alignment horizontal="center" vertical="top" wrapText="1"/>
    </xf>
    <xf numFmtId="3" fontId="0" fillId="0" borderId="74" xfId="0" applyNumberFormat="1" applyBorder="1" applyAlignment="1">
      <alignment horizontal="left" vertical="top" indent="2"/>
    </xf>
    <xf numFmtId="164" fontId="4" fillId="0" borderId="76" xfId="1" applyNumberFormat="1" applyFont="1" applyFill="1" applyBorder="1" applyAlignment="1">
      <alignment horizontal="center" vertical="top" wrapText="1"/>
    </xf>
    <xf numFmtId="164" fontId="4" fillId="0" borderId="39" xfId="1" applyNumberFormat="1" applyFont="1" applyFill="1" applyBorder="1" applyAlignment="1">
      <alignment horizontal="center" vertical="top" wrapText="1"/>
    </xf>
    <xf numFmtId="164" fontId="3" fillId="0" borderId="78" xfId="0" applyNumberFormat="1" applyFont="1" applyBorder="1" applyAlignment="1">
      <alignment horizontal="center" vertical="top" wrapText="1"/>
    </xf>
    <xf numFmtId="3" fontId="0" fillId="0" borderId="77" xfId="0" applyNumberFormat="1" applyBorder="1" applyAlignment="1">
      <alignment horizontal="left" vertical="top" indent="2"/>
    </xf>
    <xf numFmtId="164" fontId="4" fillId="0" borderId="79" xfId="1" applyNumberFormat="1" applyFont="1" applyFill="1" applyBorder="1" applyAlignment="1">
      <alignment horizontal="center" vertical="top" wrapText="1"/>
    </xf>
    <xf numFmtId="164" fontId="0" fillId="0" borderId="39" xfId="1" applyNumberFormat="1" applyFont="1" applyFill="1" applyBorder="1" applyAlignment="1">
      <alignment horizontal="left" vertical="top"/>
    </xf>
    <xf numFmtId="2" fontId="0" fillId="0" borderId="39" xfId="0" applyNumberFormat="1" applyBorder="1" applyAlignment="1">
      <alignment horizontal="center" vertical="top"/>
    </xf>
    <xf numFmtId="164" fontId="0" fillId="4" borderId="80" xfId="0" applyNumberFormat="1" applyFill="1" applyBorder="1" applyAlignment="1">
      <alignment horizontal="left" vertical="top"/>
    </xf>
    <xf numFmtId="164" fontId="2" fillId="0" borderId="39" xfId="3" applyNumberFormat="1" applyBorder="1"/>
    <xf numFmtId="10" fontId="2" fillId="0" borderId="17" xfId="3" applyNumberFormat="1" applyBorder="1"/>
    <xf numFmtId="9" fontId="2" fillId="0" borderId="17" xfId="3" applyNumberFormat="1" applyBorder="1"/>
    <xf numFmtId="10" fontId="2" fillId="0" borderId="34" xfId="3" applyNumberFormat="1" applyBorder="1"/>
    <xf numFmtId="0" fontId="17" fillId="0" borderId="0" xfId="0" applyFont="1" applyAlignment="1">
      <alignment horizontal="center" vertical="top" wrapText="1"/>
    </xf>
    <xf numFmtId="10" fontId="2" fillId="0" borderId="0" xfId="3" applyNumberFormat="1"/>
    <xf numFmtId="2" fontId="20" fillId="0" borderId="28" xfId="2" applyNumberFormat="1" applyFont="1" applyBorder="1" applyAlignment="1">
      <alignment horizontal="center"/>
    </xf>
    <xf numFmtId="6" fontId="0" fillId="0" borderId="42" xfId="0" applyNumberFormat="1" applyBorder="1" applyAlignment="1">
      <alignment horizontal="left" vertical="top"/>
    </xf>
    <xf numFmtId="6" fontId="0" fillId="3" borderId="42" xfId="0" applyNumberFormat="1" applyFill="1" applyBorder="1" applyAlignment="1">
      <alignment horizontal="left" vertical="top"/>
    </xf>
    <xf numFmtId="9" fontId="1" fillId="0" borderId="17" xfId="3" applyNumberFormat="1" applyFont="1" applyBorder="1"/>
    <xf numFmtId="0" fontId="7" fillId="0" borderId="14" xfId="0" applyFont="1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7" fillId="25" borderId="0" xfId="0" applyFont="1" applyFill="1" applyAlignment="1">
      <alignment horizontal="left" vertical="top"/>
    </xf>
    <xf numFmtId="0" fontId="0" fillId="25" borderId="17" xfId="0" applyFill="1" applyBorder="1" applyAlignment="1">
      <alignment horizontal="left" vertical="top"/>
    </xf>
    <xf numFmtId="1" fontId="0" fillId="25" borderId="17" xfId="0" applyNumberFormat="1" applyFill="1" applyBorder="1" applyAlignment="1">
      <alignment horizontal="left" vertical="top"/>
    </xf>
    <xf numFmtId="6" fontId="0" fillId="25" borderId="17" xfId="0" applyNumberFormat="1" applyFill="1" applyBorder="1" applyAlignment="1">
      <alignment horizontal="left" vertical="top"/>
    </xf>
    <xf numFmtId="10" fontId="0" fillId="25" borderId="17" xfId="2" applyNumberFormat="1" applyFont="1" applyFill="1" applyBorder="1" applyAlignment="1">
      <alignment horizontal="left" vertical="top"/>
    </xf>
    <xf numFmtId="10" fontId="0" fillId="25" borderId="17" xfId="0" applyNumberFormat="1" applyFill="1" applyBorder="1" applyAlignment="1">
      <alignment horizontal="left" vertical="top"/>
    </xf>
    <xf numFmtId="0" fontId="7" fillId="25" borderId="6" xfId="0" applyFont="1" applyFill="1" applyBorder="1" applyAlignment="1">
      <alignment horizontal="left" vertical="top"/>
    </xf>
    <xf numFmtId="10" fontId="0" fillId="25" borderId="34" xfId="0" applyNumberFormat="1" applyFill="1" applyBorder="1" applyAlignment="1">
      <alignment horizontal="left" vertical="top"/>
    </xf>
    <xf numFmtId="0" fontId="0" fillId="7" borderId="14" xfId="0" applyFill="1" applyBorder="1" applyAlignment="1">
      <alignment horizontal="left" vertical="top"/>
    </xf>
    <xf numFmtId="0" fontId="0" fillId="7" borderId="17" xfId="0" applyFill="1" applyBorder="1" applyAlignment="1">
      <alignment horizontal="left" vertical="top"/>
    </xf>
    <xf numFmtId="6" fontId="0" fillId="7" borderId="17" xfId="0" applyNumberFormat="1" applyFill="1" applyBorder="1" applyAlignment="1">
      <alignment horizontal="left" vertical="top"/>
    </xf>
    <xf numFmtId="0" fontId="7" fillId="7" borderId="14" xfId="0" applyFont="1" applyFill="1" applyBorder="1" applyAlignment="1">
      <alignment horizontal="left" vertical="top"/>
    </xf>
    <xf numFmtId="10" fontId="0" fillId="7" borderId="17" xfId="2" applyNumberFormat="1" applyFont="1" applyFill="1" applyBorder="1" applyAlignment="1">
      <alignment horizontal="left" vertical="top"/>
    </xf>
    <xf numFmtId="168" fontId="0" fillId="7" borderId="17" xfId="2" applyNumberFormat="1" applyFont="1" applyFill="1" applyBorder="1" applyAlignment="1">
      <alignment horizontal="left" vertical="top"/>
    </xf>
    <xf numFmtId="0" fontId="7" fillId="7" borderId="33" xfId="0" applyFont="1" applyFill="1" applyBorder="1" applyAlignment="1">
      <alignment horizontal="left" vertical="top"/>
    </xf>
    <xf numFmtId="10" fontId="0" fillId="7" borderId="34" xfId="2" applyNumberFormat="1" applyFont="1" applyFill="1" applyBorder="1" applyAlignment="1">
      <alignment horizontal="left" vertical="top"/>
    </xf>
    <xf numFmtId="0" fontId="7" fillId="14" borderId="14" xfId="0" applyFont="1" applyFill="1" applyBorder="1" applyAlignment="1">
      <alignment horizontal="left" vertical="top"/>
    </xf>
    <xf numFmtId="0" fontId="0" fillId="14" borderId="17" xfId="0" applyFill="1" applyBorder="1" applyAlignment="1">
      <alignment horizontal="left" vertical="top"/>
    </xf>
    <xf numFmtId="1" fontId="0" fillId="14" borderId="17" xfId="0" applyNumberFormat="1" applyFill="1" applyBorder="1" applyAlignment="1">
      <alignment horizontal="left" vertical="top"/>
    </xf>
    <xf numFmtId="6" fontId="0" fillId="14" borderId="17" xfId="0" applyNumberFormat="1" applyFill="1" applyBorder="1" applyAlignment="1">
      <alignment horizontal="left" vertical="top"/>
    </xf>
    <xf numFmtId="10" fontId="0" fillId="14" borderId="17" xfId="2" applyNumberFormat="1" applyFont="1" applyFill="1" applyBorder="1" applyAlignment="1">
      <alignment horizontal="left" vertical="top"/>
    </xf>
    <xf numFmtId="10" fontId="0" fillId="14" borderId="17" xfId="0" applyNumberFormat="1" applyFill="1" applyBorder="1" applyAlignment="1">
      <alignment horizontal="left" vertical="top"/>
    </xf>
    <xf numFmtId="0" fontId="7" fillId="14" borderId="33" xfId="0" applyFont="1" applyFill="1" applyBorder="1" applyAlignment="1">
      <alignment horizontal="left" vertical="top"/>
    </xf>
    <xf numFmtId="0" fontId="0" fillId="14" borderId="34" xfId="0" applyFill="1" applyBorder="1" applyAlignment="1">
      <alignment horizontal="left" vertical="top"/>
    </xf>
    <xf numFmtId="0" fontId="0" fillId="10" borderId="14" xfId="0" applyFill="1" applyBorder="1" applyAlignment="1">
      <alignment horizontal="left" vertical="top"/>
    </xf>
    <xf numFmtId="0" fontId="0" fillId="10" borderId="17" xfId="0" applyFill="1" applyBorder="1" applyAlignment="1">
      <alignment horizontal="left" vertical="top"/>
    </xf>
    <xf numFmtId="6" fontId="0" fillId="10" borderId="17" xfId="0" applyNumberFormat="1" applyFill="1" applyBorder="1" applyAlignment="1">
      <alignment horizontal="left" vertical="top"/>
    </xf>
    <xf numFmtId="0" fontId="7" fillId="10" borderId="14" xfId="0" applyFont="1" applyFill="1" applyBorder="1" applyAlignment="1">
      <alignment horizontal="left" vertical="top"/>
    </xf>
    <xf numFmtId="10" fontId="0" fillId="10" borderId="17" xfId="2" applyNumberFormat="1" applyFont="1" applyFill="1" applyBorder="1" applyAlignment="1">
      <alignment horizontal="left" vertical="top"/>
    </xf>
    <xf numFmtId="9" fontId="0" fillId="10" borderId="17" xfId="2" applyFont="1" applyFill="1" applyBorder="1" applyAlignment="1">
      <alignment horizontal="left" vertical="top"/>
    </xf>
    <xf numFmtId="10" fontId="0" fillId="10" borderId="17" xfId="0" applyNumberFormat="1" applyFill="1" applyBorder="1" applyAlignment="1">
      <alignment horizontal="left" vertical="top"/>
    </xf>
    <xf numFmtId="9" fontId="0" fillId="10" borderId="17" xfId="0" applyNumberFormat="1" applyFill="1" applyBorder="1" applyAlignment="1">
      <alignment horizontal="left" vertical="top"/>
    </xf>
    <xf numFmtId="0" fontId="7" fillId="10" borderId="33" xfId="0" applyFont="1" applyFill="1" applyBorder="1" applyAlignment="1">
      <alignment horizontal="left" vertical="top"/>
    </xf>
    <xf numFmtId="9" fontId="0" fillId="10" borderId="34" xfId="0" applyNumberFormat="1" applyFill="1" applyBorder="1" applyAlignment="1">
      <alignment horizontal="left" vertical="top"/>
    </xf>
    <xf numFmtId="0" fontId="7" fillId="18" borderId="14" xfId="0" applyFont="1" applyFill="1" applyBorder="1" applyAlignment="1">
      <alignment horizontal="left" vertical="top"/>
    </xf>
    <xf numFmtId="0" fontId="7" fillId="18" borderId="17" xfId="0" applyFont="1" applyFill="1" applyBorder="1" applyAlignment="1">
      <alignment horizontal="left" vertical="top"/>
    </xf>
    <xf numFmtId="1" fontId="0" fillId="18" borderId="17" xfId="0" applyNumberFormat="1" applyFill="1" applyBorder="1" applyAlignment="1">
      <alignment horizontal="left" vertical="top"/>
    </xf>
    <xf numFmtId="10" fontId="0" fillId="18" borderId="17" xfId="0" applyNumberFormat="1" applyFill="1" applyBorder="1" applyAlignment="1">
      <alignment horizontal="left" vertical="top"/>
    </xf>
    <xf numFmtId="6" fontId="0" fillId="18" borderId="17" xfId="0" applyNumberFormat="1" applyFill="1" applyBorder="1" applyAlignment="1">
      <alignment horizontal="left" vertical="top"/>
    </xf>
    <xf numFmtId="3" fontId="0" fillId="18" borderId="17" xfId="0" applyNumberFormat="1" applyFill="1" applyBorder="1" applyAlignment="1">
      <alignment horizontal="left" vertical="top"/>
    </xf>
    <xf numFmtId="0" fontId="7" fillId="18" borderId="33" xfId="0" applyFont="1" applyFill="1" applyBorder="1" applyAlignment="1">
      <alignment horizontal="left" vertical="top"/>
    </xf>
    <xf numFmtId="173" fontId="0" fillId="18" borderId="34" xfId="0" applyNumberFormat="1" applyFill="1" applyBorder="1" applyAlignment="1">
      <alignment horizontal="left" vertical="top"/>
    </xf>
    <xf numFmtId="1" fontId="0" fillId="24" borderId="17" xfId="0" applyNumberFormat="1" applyFill="1" applyBorder="1" applyAlignment="1">
      <alignment horizontal="left" vertical="top"/>
    </xf>
    <xf numFmtId="0" fontId="0" fillId="24" borderId="17" xfId="0" applyFill="1" applyBorder="1" applyAlignment="1">
      <alignment horizontal="left" vertical="top"/>
    </xf>
    <xf numFmtId="173" fontId="0" fillId="24" borderId="17" xfId="0" applyNumberFormat="1" applyFill="1" applyBorder="1" applyAlignment="1">
      <alignment horizontal="left" vertical="top"/>
    </xf>
    <xf numFmtId="6" fontId="0" fillId="24" borderId="17" xfId="0" applyNumberFormat="1" applyFill="1" applyBorder="1" applyAlignment="1">
      <alignment horizontal="left" vertical="top"/>
    </xf>
    <xf numFmtId="0" fontId="7" fillId="24" borderId="14" xfId="0" applyFont="1" applyFill="1" applyBorder="1" applyAlignment="1">
      <alignment horizontal="left" vertical="top"/>
    </xf>
    <xf numFmtId="10" fontId="0" fillId="24" borderId="17" xfId="2" applyNumberFormat="1" applyFont="1" applyFill="1" applyBorder="1" applyAlignment="1">
      <alignment horizontal="left" vertical="top"/>
    </xf>
    <xf numFmtId="10" fontId="0" fillId="24" borderId="17" xfId="0" applyNumberFormat="1" applyFill="1" applyBorder="1" applyAlignment="1">
      <alignment horizontal="left" vertical="top"/>
    </xf>
    <xf numFmtId="10" fontId="0" fillId="24" borderId="34" xfId="0" applyNumberFormat="1" applyFill="1" applyBorder="1" applyAlignment="1">
      <alignment horizontal="left" vertical="top"/>
    </xf>
    <xf numFmtId="173" fontId="0" fillId="0" borderId="0" xfId="0" applyNumberFormat="1" applyAlignment="1">
      <alignment horizontal="left" vertical="top"/>
    </xf>
    <xf numFmtId="0" fontId="7" fillId="15" borderId="14" xfId="0" applyFont="1" applyFill="1" applyBorder="1" applyAlignment="1">
      <alignment horizontal="left" vertical="top"/>
    </xf>
    <xf numFmtId="0" fontId="7" fillId="15" borderId="17" xfId="0" applyFont="1" applyFill="1" applyBorder="1" applyAlignment="1">
      <alignment horizontal="left" vertical="top"/>
    </xf>
    <xf numFmtId="1" fontId="0" fillId="15" borderId="17" xfId="0" applyNumberFormat="1" applyFill="1" applyBorder="1" applyAlignment="1">
      <alignment horizontal="left" vertical="top"/>
    </xf>
    <xf numFmtId="0" fontId="0" fillId="15" borderId="17" xfId="0" applyFill="1" applyBorder="1" applyAlignment="1">
      <alignment horizontal="left" vertical="top"/>
    </xf>
    <xf numFmtId="6" fontId="0" fillId="15" borderId="17" xfId="0" applyNumberFormat="1" applyFill="1" applyBorder="1" applyAlignment="1">
      <alignment horizontal="left" vertical="top"/>
    </xf>
    <xf numFmtId="169" fontId="0" fillId="15" borderId="17" xfId="0" applyNumberFormat="1" applyFill="1" applyBorder="1" applyAlignment="1">
      <alignment horizontal="left" vertical="top"/>
    </xf>
    <xf numFmtId="10" fontId="0" fillId="15" borderId="17" xfId="0" applyNumberFormat="1" applyFill="1" applyBorder="1" applyAlignment="1">
      <alignment horizontal="left" vertical="top"/>
    </xf>
    <xf numFmtId="0" fontId="0" fillId="15" borderId="14" xfId="0" applyFill="1" applyBorder="1" applyAlignment="1">
      <alignment horizontal="left" vertical="top"/>
    </xf>
    <xf numFmtId="0" fontId="7" fillId="15" borderId="33" xfId="0" applyFont="1" applyFill="1" applyBorder="1" applyAlignment="1">
      <alignment horizontal="left" vertical="top"/>
    </xf>
    <xf numFmtId="6" fontId="0" fillId="15" borderId="34" xfId="0" applyNumberFormat="1" applyFill="1" applyBorder="1" applyAlignment="1">
      <alignment horizontal="left" vertical="top"/>
    </xf>
    <xf numFmtId="164" fontId="2" fillId="0" borderId="34" xfId="3" applyNumberFormat="1" applyBorder="1"/>
    <xf numFmtId="164" fontId="2" fillId="0" borderId="32" xfId="3" applyNumberFormat="1" applyBorder="1"/>
    <xf numFmtId="0" fontId="7" fillId="24" borderId="29" xfId="0" applyFont="1" applyFill="1" applyBorder="1" applyAlignment="1">
      <alignment horizontal="left" vertical="top"/>
    </xf>
    <xf numFmtId="1" fontId="0" fillId="24" borderId="30" xfId="0" applyNumberFormat="1" applyFill="1" applyBorder="1" applyAlignment="1">
      <alignment horizontal="left" vertical="top"/>
    </xf>
    <xf numFmtId="0" fontId="7" fillId="24" borderId="33" xfId="0" applyFont="1" applyFill="1" applyBorder="1" applyAlignment="1">
      <alignment horizontal="left" vertical="top"/>
    </xf>
    <xf numFmtId="2" fontId="2" fillId="0" borderId="17" xfId="3" applyNumberFormat="1" applyBorder="1"/>
    <xf numFmtId="2" fontId="2" fillId="0" borderId="34" xfId="3" applyNumberFormat="1" applyBorder="1"/>
    <xf numFmtId="0" fontId="7" fillId="7" borderId="17" xfId="0" applyFont="1" applyFill="1" applyBorder="1" applyAlignment="1">
      <alignment horizontal="left" vertical="top"/>
    </xf>
    <xf numFmtId="10" fontId="0" fillId="7" borderId="17" xfId="0" applyNumberFormat="1" applyFill="1" applyBorder="1" applyAlignment="1">
      <alignment horizontal="left" vertical="top"/>
    </xf>
    <xf numFmtId="0" fontId="7" fillId="7" borderId="6" xfId="0" applyFont="1" applyFill="1" applyBorder="1" applyAlignment="1">
      <alignment horizontal="left" vertical="top"/>
    </xf>
    <xf numFmtId="6" fontId="0" fillId="7" borderId="34" xfId="0" applyNumberFormat="1" applyFill="1" applyBorder="1" applyAlignment="1">
      <alignment horizontal="left" vertical="top"/>
    </xf>
    <xf numFmtId="0" fontId="9" fillId="0" borderId="14" xfId="3" applyFont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9" fillId="0" borderId="31" xfId="3" applyFont="1" applyBorder="1"/>
    <xf numFmtId="9" fontId="9" fillId="0" borderId="32" xfId="3" applyNumberFormat="1" applyFont="1" applyBorder="1"/>
    <xf numFmtId="0" fontId="16" fillId="0" borderId="31" xfId="3" applyFont="1" applyBorder="1"/>
    <xf numFmtId="0" fontId="1" fillId="0" borderId="36" xfId="3" applyFont="1" applyBorder="1"/>
    <xf numFmtId="164" fontId="4" fillId="0" borderId="2" xfId="1" applyNumberFormat="1" applyFont="1" applyFill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wrapText="1"/>
    </xf>
    <xf numFmtId="37" fontId="40" fillId="0" borderId="1" xfId="0" applyNumberFormat="1" applyFont="1" applyBorder="1" applyAlignment="1">
      <alignment horizontal="right" vertical="top" indent="1" shrinkToFit="1"/>
    </xf>
    <xf numFmtId="164" fontId="7" fillId="4" borderId="4" xfId="0" applyNumberFormat="1" applyFont="1" applyFill="1" applyBorder="1" applyAlignment="1">
      <alignment horizontal="left" vertical="top"/>
    </xf>
    <xf numFmtId="6" fontId="4" fillId="0" borderId="1" xfId="0" applyNumberFormat="1" applyFont="1" applyBorder="1" applyAlignment="1">
      <alignment horizontal="center" vertical="top" wrapText="1"/>
    </xf>
    <xf numFmtId="0" fontId="17" fillId="2" borderId="85" xfId="0" applyFont="1" applyFill="1" applyBorder="1" applyAlignment="1">
      <alignment horizontal="left" vertical="top" wrapText="1" indent="1"/>
    </xf>
    <xf numFmtId="164" fontId="4" fillId="0" borderId="17" xfId="0" applyNumberFormat="1" applyFont="1" applyBorder="1" applyAlignment="1">
      <alignment horizontal="center" vertical="top" wrapText="1"/>
    </xf>
    <xf numFmtId="3" fontId="0" fillId="0" borderId="87" xfId="0" applyNumberFormat="1" applyBorder="1" applyAlignment="1">
      <alignment horizontal="left" vertical="top" indent="3"/>
    </xf>
    <xf numFmtId="0" fontId="0" fillId="0" borderId="0" xfId="0" applyAlignment="1">
      <alignment horizontal="left" vertical="top" wrapText="1" indent="3"/>
    </xf>
    <xf numFmtId="3" fontId="0" fillId="0" borderId="0" xfId="0" applyNumberFormat="1" applyAlignment="1">
      <alignment horizontal="left" vertical="top" indent="4"/>
    </xf>
    <xf numFmtId="3" fontId="0" fillId="0" borderId="0" xfId="0" applyNumberFormat="1" applyAlignment="1">
      <alignment horizontal="left" vertical="top" indent="3"/>
    </xf>
    <xf numFmtId="3" fontId="0" fillId="0" borderId="0" xfId="0" applyNumberFormat="1" applyAlignment="1">
      <alignment horizontal="left" vertical="top" indent="2"/>
    </xf>
    <xf numFmtId="3" fontId="0" fillId="0" borderId="17" xfId="0" applyNumberFormat="1" applyBorder="1" applyAlignment="1">
      <alignment horizontal="left" vertical="top" indent="3"/>
    </xf>
    <xf numFmtId="164" fontId="4" fillId="0" borderId="17" xfId="1" applyNumberFormat="1" applyFont="1" applyFill="1" applyBorder="1" applyAlignment="1">
      <alignment horizontal="center" vertical="top" wrapText="1"/>
    </xf>
    <xf numFmtId="164" fontId="4" fillId="0" borderId="89" xfId="1" applyNumberFormat="1" applyFont="1" applyFill="1" applyBorder="1" applyAlignment="1">
      <alignment horizontal="center" vertical="top" wrapText="1"/>
    </xf>
    <xf numFmtId="2" fontId="0" fillId="0" borderId="17" xfId="0" applyNumberFormat="1" applyBorder="1" applyAlignment="1">
      <alignment horizontal="center" vertical="top"/>
    </xf>
    <xf numFmtId="0" fontId="7" fillId="4" borderId="90" xfId="0" applyFont="1" applyFill="1" applyBorder="1" applyAlignment="1">
      <alignment horizontal="left" vertical="top"/>
    </xf>
    <xf numFmtId="164" fontId="0" fillId="4" borderId="91" xfId="0" applyNumberFormat="1" applyFill="1" applyBorder="1" applyAlignment="1">
      <alignment horizontal="left" vertical="top"/>
    </xf>
    <xf numFmtId="0" fontId="7" fillId="8" borderId="14" xfId="0" applyFont="1" applyFill="1" applyBorder="1" applyAlignment="1">
      <alignment horizontal="left" vertical="top"/>
    </xf>
    <xf numFmtId="1" fontId="4" fillId="0" borderId="17" xfId="1" applyNumberFormat="1" applyFont="1" applyFill="1" applyBorder="1" applyAlignment="1">
      <alignment horizontal="center" vertical="top" wrapText="1"/>
    </xf>
    <xf numFmtId="0" fontId="0" fillId="6" borderId="37" xfId="0" applyFill="1" applyBorder="1" applyAlignment="1">
      <alignment horizontal="left" vertical="top"/>
    </xf>
    <xf numFmtId="0" fontId="0" fillId="6" borderId="30" xfId="0" applyFill="1" applyBorder="1" applyAlignment="1">
      <alignment horizontal="left" vertical="top"/>
    </xf>
    <xf numFmtId="0" fontId="7" fillId="0" borderId="84" xfId="0" applyFont="1" applyBorder="1" applyAlignment="1">
      <alignment wrapText="1"/>
    </xf>
    <xf numFmtId="0" fontId="0" fillId="0" borderId="85" xfId="0" applyBorder="1" applyAlignment="1">
      <alignment wrapText="1"/>
    </xf>
    <xf numFmtId="164" fontId="0" fillId="0" borderId="17" xfId="0" applyNumberFormat="1" applyBorder="1" applyAlignment="1">
      <alignment horizontal="left" vertical="top"/>
    </xf>
    <xf numFmtId="44" fontId="0" fillId="0" borderId="17" xfId="0" applyNumberFormat="1" applyBorder="1" applyAlignment="1">
      <alignment horizontal="left" vertical="top"/>
    </xf>
    <xf numFmtId="164" fontId="4" fillId="0" borderId="87" xfId="1" applyNumberFormat="1" applyFont="1" applyFill="1" applyBorder="1" applyAlignment="1">
      <alignment horizontal="center" vertical="top" wrapText="1"/>
    </xf>
    <xf numFmtId="6" fontId="4" fillId="0" borderId="85" xfId="0" applyNumberFormat="1" applyFont="1" applyBorder="1" applyAlignment="1">
      <alignment horizontal="center" vertical="top" wrapText="1"/>
    </xf>
    <xf numFmtId="164" fontId="4" fillId="0" borderId="85" xfId="0" applyNumberFormat="1" applyFont="1" applyBorder="1" applyAlignment="1">
      <alignment horizontal="center" vertical="top" wrapText="1"/>
    </xf>
    <xf numFmtId="0" fontId="0" fillId="0" borderId="84" xfId="0" applyBorder="1" applyAlignment="1">
      <alignment wrapText="1"/>
    </xf>
    <xf numFmtId="164" fontId="0" fillId="0" borderId="17" xfId="1" applyNumberFormat="1" applyFont="1" applyFill="1" applyBorder="1" applyAlignment="1">
      <alignment horizontal="left" vertical="top"/>
    </xf>
    <xf numFmtId="0" fontId="7" fillId="0" borderId="85" xfId="0" applyFont="1" applyBorder="1" applyAlignment="1">
      <alignment wrapText="1"/>
    </xf>
    <xf numFmtId="37" fontId="40" fillId="0" borderId="85" xfId="0" applyNumberFormat="1" applyFont="1" applyBorder="1" applyAlignment="1">
      <alignment horizontal="right" vertical="top" indent="1" shrinkToFit="1"/>
    </xf>
    <xf numFmtId="2" fontId="7" fillId="0" borderId="0" xfId="0" applyNumberFormat="1" applyFont="1" applyAlignment="1">
      <alignment horizontal="center" vertical="top"/>
    </xf>
    <xf numFmtId="2" fontId="7" fillId="0" borderId="17" xfId="0" applyNumberFormat="1" applyFont="1" applyBorder="1" applyAlignment="1">
      <alignment horizontal="center" vertical="top"/>
    </xf>
    <xf numFmtId="164" fontId="4" fillId="4" borderId="92" xfId="1" applyNumberFormat="1" applyFont="1" applyFill="1" applyBorder="1" applyAlignment="1">
      <alignment horizontal="center" vertical="top" wrapText="1"/>
    </xf>
    <xf numFmtId="164" fontId="4" fillId="4" borderId="93" xfId="1" applyNumberFormat="1" applyFont="1" applyFill="1" applyBorder="1" applyAlignment="1">
      <alignment horizontal="center" vertical="top" wrapText="1"/>
    </xf>
    <xf numFmtId="44" fontId="7" fillId="0" borderId="0" xfId="0" applyNumberFormat="1" applyFont="1" applyAlignment="1">
      <alignment horizontal="left" vertical="top"/>
    </xf>
    <xf numFmtId="44" fontId="7" fillId="0" borderId="17" xfId="0" applyNumberFormat="1" applyFont="1" applyBorder="1" applyAlignment="1">
      <alignment horizontal="left" vertical="top"/>
    </xf>
    <xf numFmtId="164" fontId="7" fillId="4" borderId="91" xfId="0" applyNumberFormat="1" applyFont="1" applyFill="1" applyBorder="1" applyAlignment="1">
      <alignment horizontal="left" vertical="top"/>
    </xf>
    <xf numFmtId="10" fontId="0" fillId="0" borderId="0" xfId="2" applyNumberFormat="1" applyFont="1" applyAlignment="1">
      <alignment horizontal="left" vertical="top"/>
    </xf>
    <xf numFmtId="0" fontId="2" fillId="0" borderId="30" xfId="3" applyBorder="1"/>
    <xf numFmtId="164" fontId="4" fillId="0" borderId="30" xfId="1" applyNumberFormat="1" applyFont="1" applyFill="1" applyBorder="1" applyAlignment="1">
      <alignment horizontal="center" vertical="top" wrapText="1"/>
    </xf>
    <xf numFmtId="0" fontId="5" fillId="2" borderId="81" xfId="0" applyFont="1" applyFill="1" applyBorder="1" applyAlignment="1">
      <alignment vertical="top" wrapText="1"/>
    </xf>
    <xf numFmtId="0" fontId="5" fillId="2" borderId="82" xfId="0" applyFont="1" applyFill="1" applyBorder="1" applyAlignment="1">
      <alignment vertical="top" wrapText="1"/>
    </xf>
    <xf numFmtId="0" fontId="17" fillId="2" borderId="82" xfId="0" applyFont="1" applyFill="1" applyBorder="1" applyAlignment="1">
      <alignment horizontal="left" vertical="top" wrapText="1" indent="2"/>
    </xf>
    <xf numFmtId="0" fontId="17" fillId="2" borderId="82" xfId="0" applyFont="1" applyFill="1" applyBorder="1" applyAlignment="1">
      <alignment horizontal="left" vertical="top" wrapText="1" indent="1"/>
    </xf>
    <xf numFmtId="0" fontId="17" fillId="2" borderId="83" xfId="0" applyFont="1" applyFill="1" applyBorder="1" applyAlignment="1">
      <alignment horizontal="left" vertical="top" wrapText="1" indent="1"/>
    </xf>
    <xf numFmtId="0" fontId="3" fillId="0" borderId="86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84" xfId="0" applyFont="1" applyBorder="1" applyAlignment="1">
      <alignment vertical="top" wrapText="1"/>
    </xf>
    <xf numFmtId="164" fontId="3" fillId="0" borderId="85" xfId="0" applyNumberFormat="1" applyFont="1" applyBorder="1" applyAlignment="1">
      <alignment horizontal="center" vertical="top" wrapText="1"/>
    </xf>
    <xf numFmtId="0" fontId="0" fillId="0" borderId="86" xfId="0" applyBorder="1" applyAlignment="1">
      <alignment vertical="top" wrapText="1"/>
    </xf>
    <xf numFmtId="164" fontId="4" fillId="0" borderId="0" xfId="0" applyNumberFormat="1" applyFont="1" applyAlignment="1">
      <alignment vertical="top" wrapText="1"/>
    </xf>
    <xf numFmtId="0" fontId="3" fillId="0" borderId="88" xfId="0" applyFont="1" applyBorder="1" applyAlignment="1">
      <alignment vertical="top" wrapText="1"/>
    </xf>
    <xf numFmtId="0" fontId="2" fillId="7" borderId="90" xfId="3" applyFill="1" applyBorder="1"/>
    <xf numFmtId="164" fontId="2" fillId="7" borderId="91" xfId="3" applyNumberFormat="1" applyFill="1" applyBorder="1"/>
    <xf numFmtId="164" fontId="0" fillId="0" borderId="17" xfId="4" applyNumberFormat="1" applyFont="1" applyBorder="1"/>
    <xf numFmtId="164" fontId="0" fillId="0" borderId="17" xfId="4" applyNumberFormat="1" applyFont="1" applyFill="1" applyBorder="1"/>
    <xf numFmtId="164" fontId="0" fillId="0" borderId="49" xfId="4" applyNumberFormat="1" applyFont="1" applyFill="1" applyBorder="1"/>
    <xf numFmtId="168" fontId="1" fillId="0" borderId="0" xfId="2" applyNumberFormat="1" applyFont="1" applyFill="1" applyBorder="1"/>
    <xf numFmtId="0" fontId="1" fillId="0" borderId="17" xfId="3" applyFont="1" applyBorder="1"/>
    <xf numFmtId="168" fontId="1" fillId="0" borderId="17" xfId="2" applyNumberFormat="1" applyFont="1" applyFill="1" applyBorder="1"/>
    <xf numFmtId="2" fontId="2" fillId="0" borderId="6" xfId="3" applyNumberFormat="1" applyBorder="1"/>
    <xf numFmtId="10" fontId="1" fillId="0" borderId="0" xfId="2" applyNumberFormat="1" applyFont="1" applyBorder="1"/>
    <xf numFmtId="10" fontId="1" fillId="0" borderId="17" xfId="2" applyNumberFormat="1" applyFont="1" applyBorder="1"/>
    <xf numFmtId="2" fontId="1" fillId="0" borderId="6" xfId="2" applyNumberFormat="1" applyFont="1" applyFill="1" applyBorder="1"/>
    <xf numFmtId="164" fontId="1" fillId="0" borderId="0" xfId="3" applyNumberFormat="1" applyFont="1"/>
    <xf numFmtId="2" fontId="1" fillId="0" borderId="34" xfId="2" applyNumberFormat="1" applyFont="1" applyFill="1" applyBorder="1"/>
    <xf numFmtId="164" fontId="1" fillId="0" borderId="0" xfId="1" applyNumberFormat="1" applyFont="1" applyBorder="1"/>
    <xf numFmtId="164" fontId="1" fillId="0" borderId="17" xfId="1" applyNumberFormat="1" applyFont="1" applyBorder="1"/>
    <xf numFmtId="9" fontId="1" fillId="0" borderId="0" xfId="1" applyNumberFormat="1" applyFont="1" applyBorder="1" applyAlignment="1">
      <alignment horizontal="left"/>
    </xf>
    <xf numFmtId="44" fontId="1" fillId="0" borderId="0" xfId="3" applyNumberFormat="1" applyFont="1"/>
    <xf numFmtId="9" fontId="1" fillId="0" borderId="0" xfId="2" applyFont="1" applyBorder="1"/>
    <xf numFmtId="44" fontId="1" fillId="0" borderId="0" xfId="1" applyFont="1"/>
    <xf numFmtId="164" fontId="1" fillId="0" borderId="17" xfId="1" applyNumberFormat="1" applyFont="1" applyFill="1" applyBorder="1"/>
    <xf numFmtId="164" fontId="1" fillId="0" borderId="0" xfId="1" applyNumberFormat="1" applyFont="1" applyFill="1" applyBorder="1"/>
    <xf numFmtId="164" fontId="1" fillId="0" borderId="6" xfId="1" applyNumberFormat="1" applyFont="1" applyFill="1" applyBorder="1"/>
    <xf numFmtId="164" fontId="1" fillId="0" borderId="34" xfId="1" applyNumberFormat="1" applyFont="1" applyFill="1" applyBorder="1"/>
    <xf numFmtId="164" fontId="1" fillId="0" borderId="32" xfId="1" applyNumberFormat="1" applyFont="1" applyFill="1" applyBorder="1"/>
    <xf numFmtId="9" fontId="1" fillId="0" borderId="17" xfId="2" applyFont="1" applyBorder="1"/>
    <xf numFmtId="44" fontId="1" fillId="0" borderId="17" xfId="1" applyFont="1" applyFill="1" applyBorder="1"/>
    <xf numFmtId="10" fontId="1" fillId="0" borderId="17" xfId="2" applyNumberFormat="1" applyFont="1" applyFill="1" applyBorder="1"/>
    <xf numFmtId="0" fontId="8" fillId="6" borderId="29" xfId="3" applyFont="1" applyFill="1" applyBorder="1" applyAlignment="1">
      <alignment horizontal="center"/>
    </xf>
    <xf numFmtId="0" fontId="8" fillId="6" borderId="37" xfId="3" applyFont="1" applyFill="1" applyBorder="1" applyAlignment="1">
      <alignment horizontal="center"/>
    </xf>
    <xf numFmtId="0" fontId="8" fillId="6" borderId="30" xfId="3" applyFont="1" applyFill="1" applyBorder="1" applyAlignment="1">
      <alignment horizontal="center"/>
    </xf>
    <xf numFmtId="0" fontId="1" fillId="0" borderId="29" xfId="3" applyFont="1" applyBorder="1" applyAlignment="1">
      <alignment horizontal="center"/>
    </xf>
    <xf numFmtId="0" fontId="1" fillId="0" borderId="37" xfId="3" applyFont="1" applyBorder="1" applyAlignment="1">
      <alignment horizontal="center"/>
    </xf>
    <xf numFmtId="0" fontId="1" fillId="0" borderId="14" xfId="3" applyFont="1" applyBorder="1" applyAlignment="1">
      <alignment horizontal="center"/>
    </xf>
    <xf numFmtId="0" fontId="1" fillId="0" borderId="0" xfId="3" applyFont="1" applyAlignment="1">
      <alignment horizontal="center"/>
    </xf>
    <xf numFmtId="0" fontId="2" fillId="0" borderId="33" xfId="3" applyBorder="1" applyAlignment="1">
      <alignment horizontal="left"/>
    </xf>
    <xf numFmtId="0" fontId="2" fillId="0" borderId="6" xfId="3" applyBorder="1" applyAlignment="1">
      <alignment horizontal="left"/>
    </xf>
    <xf numFmtId="0" fontId="2" fillId="0" borderId="0" xfId="3" applyAlignment="1">
      <alignment horizontal="left"/>
    </xf>
    <xf numFmtId="0" fontId="1" fillId="0" borderId="33" xfId="3" applyFont="1" applyBorder="1" applyAlignment="1">
      <alignment horizontal="center"/>
    </xf>
    <xf numFmtId="0" fontId="1" fillId="0" borderId="6" xfId="3" applyFont="1" applyBorder="1" applyAlignment="1">
      <alignment horizontal="center"/>
    </xf>
    <xf numFmtId="0" fontId="19" fillId="6" borderId="29" xfId="3" applyFont="1" applyFill="1" applyBorder="1" applyAlignment="1">
      <alignment horizontal="center"/>
    </xf>
    <xf numFmtId="0" fontId="19" fillId="6" borderId="37" xfId="3" applyFont="1" applyFill="1" applyBorder="1" applyAlignment="1">
      <alignment horizontal="center"/>
    </xf>
    <xf numFmtId="0" fontId="19" fillId="6" borderId="30" xfId="3" applyFont="1" applyFill="1" applyBorder="1" applyAlignment="1">
      <alignment horizontal="center"/>
    </xf>
    <xf numFmtId="0" fontId="0" fillId="0" borderId="84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85" xfId="0" applyBorder="1" applyAlignment="1">
      <alignment horizontal="left" wrapText="1"/>
    </xf>
    <xf numFmtId="0" fontId="36" fillId="12" borderId="29" xfId="3" applyFont="1" applyFill="1" applyBorder="1" applyAlignment="1">
      <alignment horizontal="center"/>
    </xf>
    <xf numFmtId="0" fontId="36" fillId="12" borderId="37" xfId="3" applyFont="1" applyFill="1" applyBorder="1" applyAlignment="1">
      <alignment horizontal="center"/>
    </xf>
    <xf numFmtId="0" fontId="9" fillId="16" borderId="31" xfId="17" applyFont="1" applyFill="1" applyBorder="1" applyAlignment="1">
      <alignment horizontal="center"/>
    </xf>
    <xf numFmtId="0" fontId="9" fillId="16" borderId="36" xfId="17" applyFont="1" applyFill="1" applyBorder="1" applyAlignment="1">
      <alignment horizontal="center"/>
    </xf>
    <xf numFmtId="0" fontId="9" fillId="16" borderId="32" xfId="17" applyFont="1" applyFill="1" applyBorder="1" applyAlignment="1">
      <alignment horizontal="center"/>
    </xf>
    <xf numFmtId="0" fontId="9" fillId="18" borderId="19" xfId="17" applyFont="1" applyFill="1" applyBorder="1" applyAlignment="1">
      <alignment horizontal="center"/>
    </xf>
    <xf numFmtId="0" fontId="9" fillId="19" borderId="19" xfId="17" applyFont="1" applyFill="1" applyBorder="1" applyAlignment="1">
      <alignment horizontal="center"/>
    </xf>
    <xf numFmtId="0" fontId="9" fillId="20" borderId="57" xfId="17" applyFont="1" applyFill="1" applyBorder="1" applyAlignment="1">
      <alignment horizontal="center"/>
    </xf>
    <xf numFmtId="0" fontId="9" fillId="20" borderId="36" xfId="17" applyFont="1" applyFill="1" applyBorder="1" applyAlignment="1">
      <alignment horizontal="center"/>
    </xf>
    <xf numFmtId="0" fontId="9" fillId="20" borderId="58" xfId="17" applyFont="1" applyFill="1" applyBorder="1" applyAlignment="1">
      <alignment horizontal="center"/>
    </xf>
    <xf numFmtId="0" fontId="1" fillId="3" borderId="29" xfId="17" applyFill="1" applyBorder="1" applyAlignment="1">
      <alignment horizontal="center"/>
    </xf>
    <xf numFmtId="0" fontId="1" fillId="3" borderId="37" xfId="17" applyFill="1" applyBorder="1" applyAlignment="1">
      <alignment horizontal="center"/>
    </xf>
    <xf numFmtId="0" fontId="1" fillId="3" borderId="30" xfId="17" applyFill="1" applyBorder="1" applyAlignment="1">
      <alignment horizontal="center"/>
    </xf>
    <xf numFmtId="0" fontId="9" fillId="16" borderId="33" xfId="17" applyFont="1" applyFill="1" applyBorder="1" applyAlignment="1">
      <alignment horizontal="center"/>
    </xf>
    <xf numFmtId="0" fontId="9" fillId="16" borderId="6" xfId="17" applyFont="1" applyFill="1" applyBorder="1" applyAlignment="1">
      <alignment horizontal="center"/>
    </xf>
    <xf numFmtId="0" fontId="9" fillId="16" borderId="34" xfId="17" applyFont="1" applyFill="1" applyBorder="1" applyAlignment="1">
      <alignment horizontal="center"/>
    </xf>
    <xf numFmtId="0" fontId="20" fillId="15" borderId="31" xfId="0" applyFont="1" applyFill="1" applyBorder="1" applyAlignment="1">
      <alignment horizontal="center" vertical="top"/>
    </xf>
    <xf numFmtId="0" fontId="20" fillId="15" borderId="32" xfId="0" applyFont="1" applyFill="1" applyBorder="1" applyAlignment="1">
      <alignment horizontal="center" vertical="top"/>
    </xf>
    <xf numFmtId="0" fontId="11" fillId="11" borderId="7" xfId="3" applyFont="1" applyFill="1" applyBorder="1" applyAlignment="1">
      <alignment horizontal="center" vertical="center" textRotation="90" wrapText="1"/>
    </xf>
    <xf numFmtId="0" fontId="11" fillId="11" borderId="16" xfId="3" applyFont="1" applyFill="1" applyBorder="1" applyAlignment="1">
      <alignment horizontal="center" vertical="center" textRotation="90" wrapText="1"/>
    </xf>
    <xf numFmtId="0" fontId="11" fillId="11" borderId="13" xfId="3" applyFont="1" applyFill="1" applyBorder="1" applyAlignment="1">
      <alignment horizontal="center" vertical="center" textRotation="90" wrapText="1"/>
    </xf>
    <xf numFmtId="0" fontId="11" fillId="11" borderId="7" xfId="3" applyFont="1" applyFill="1" applyBorder="1" applyAlignment="1">
      <alignment horizontal="center" vertical="center" textRotation="90"/>
    </xf>
    <xf numFmtId="0" fontId="11" fillId="11" borderId="13" xfId="3" applyFont="1" applyFill="1" applyBorder="1" applyAlignment="1">
      <alignment horizontal="center" vertical="center" textRotation="90"/>
    </xf>
    <xf numFmtId="0" fontId="11" fillId="11" borderId="73" xfId="3" applyFont="1" applyFill="1" applyBorder="1" applyAlignment="1">
      <alignment horizontal="center" vertical="center" textRotation="90"/>
    </xf>
    <xf numFmtId="0" fontId="20" fillId="7" borderId="29" xfId="0" applyFont="1" applyFill="1" applyBorder="1" applyAlignment="1">
      <alignment horizontal="center" vertical="top"/>
    </xf>
    <xf numFmtId="0" fontId="20" fillId="7" borderId="30" xfId="0" applyFont="1" applyFill="1" applyBorder="1" applyAlignment="1">
      <alignment horizontal="center" vertical="top"/>
    </xf>
    <xf numFmtId="0" fontId="20" fillId="14" borderId="31" xfId="0" applyFont="1" applyFill="1" applyBorder="1" applyAlignment="1">
      <alignment horizontal="center" vertical="top"/>
    </xf>
    <xf numFmtId="0" fontId="20" fillId="14" borderId="32" xfId="0" applyFont="1" applyFill="1" applyBorder="1" applyAlignment="1">
      <alignment horizontal="center" vertical="top"/>
    </xf>
    <xf numFmtId="0" fontId="20" fillId="7" borderId="36" xfId="0" applyFont="1" applyFill="1" applyBorder="1" applyAlignment="1">
      <alignment horizontal="center" vertical="top"/>
    </xf>
    <xf numFmtId="0" fontId="20" fillId="7" borderId="32" xfId="0" applyFont="1" applyFill="1" applyBorder="1" applyAlignment="1">
      <alignment horizontal="center" vertical="top"/>
    </xf>
    <xf numFmtId="0" fontId="20" fillId="24" borderId="31" xfId="0" applyFont="1" applyFill="1" applyBorder="1" applyAlignment="1">
      <alignment horizontal="center" vertical="top"/>
    </xf>
    <xf numFmtId="0" fontId="20" fillId="24" borderId="32" xfId="0" applyFont="1" applyFill="1" applyBorder="1" applyAlignment="1">
      <alignment horizontal="center" vertical="top"/>
    </xf>
    <xf numFmtId="0" fontId="20" fillId="10" borderId="31" xfId="0" applyFont="1" applyFill="1" applyBorder="1" applyAlignment="1">
      <alignment horizontal="center" vertical="top"/>
    </xf>
    <xf numFmtId="0" fontId="20" fillId="10" borderId="32" xfId="0" applyFont="1" applyFill="1" applyBorder="1" applyAlignment="1">
      <alignment horizontal="center" vertical="top"/>
    </xf>
    <xf numFmtId="0" fontId="20" fillId="25" borderId="31" xfId="0" applyFont="1" applyFill="1" applyBorder="1" applyAlignment="1">
      <alignment horizontal="center" vertical="top"/>
    </xf>
    <xf numFmtId="0" fontId="20" fillId="25" borderId="32" xfId="0" applyFont="1" applyFill="1" applyBorder="1" applyAlignment="1">
      <alignment horizontal="center" vertical="top"/>
    </xf>
    <xf numFmtId="0" fontId="20" fillId="18" borderId="31" xfId="0" applyFont="1" applyFill="1" applyBorder="1" applyAlignment="1">
      <alignment horizontal="center" vertical="top"/>
    </xf>
    <xf numFmtId="0" fontId="20" fillId="18" borderId="32" xfId="0" applyFont="1" applyFill="1" applyBorder="1" applyAlignment="1">
      <alignment horizontal="center" vertical="top"/>
    </xf>
    <xf numFmtId="0" fontId="1" fillId="0" borderId="0" xfId="17" applyAlignment="1">
      <alignment horizontal="center" vertical="center" textRotation="90"/>
    </xf>
    <xf numFmtId="0" fontId="1" fillId="19" borderId="66" xfId="17" applyFill="1" applyBorder="1" applyAlignment="1">
      <alignment horizontal="center" vertical="center" textRotation="90"/>
    </xf>
    <xf numFmtId="0" fontId="1" fillId="19" borderId="68" xfId="17" applyFill="1" applyBorder="1" applyAlignment="1">
      <alignment horizontal="center" vertical="center" textRotation="90"/>
    </xf>
    <xf numFmtId="0" fontId="1" fillId="19" borderId="67" xfId="17" applyFill="1" applyBorder="1" applyAlignment="1">
      <alignment horizontal="center" vertical="center" textRotation="90"/>
    </xf>
    <xf numFmtId="0" fontId="1" fillId="18" borderId="66" xfId="17" applyFill="1" applyBorder="1" applyAlignment="1">
      <alignment horizontal="center" vertical="center" textRotation="90"/>
    </xf>
    <xf numFmtId="0" fontId="1" fillId="18" borderId="68" xfId="17" applyFill="1" applyBorder="1" applyAlignment="1">
      <alignment horizontal="center" vertical="center" textRotation="90"/>
    </xf>
    <xf numFmtId="0" fontId="1" fillId="24" borderId="66" xfId="17" applyFill="1" applyBorder="1" applyAlignment="1">
      <alignment horizontal="center" vertical="center" wrapText="1"/>
    </xf>
    <xf numFmtId="0" fontId="1" fillId="24" borderId="68" xfId="17" applyFill="1" applyBorder="1" applyAlignment="1">
      <alignment horizontal="center" vertical="center" wrapText="1"/>
    </xf>
    <xf numFmtId="0" fontId="1" fillId="24" borderId="67" xfId="17" applyFill="1" applyBorder="1" applyAlignment="1">
      <alignment horizontal="center" vertical="center" wrapText="1"/>
    </xf>
    <xf numFmtId="0" fontId="1" fillId="24" borderId="66" xfId="17" applyFill="1" applyBorder="1" applyAlignment="1">
      <alignment horizontal="center" vertical="center" textRotation="90"/>
    </xf>
    <xf numFmtId="0" fontId="1" fillId="24" borderId="68" xfId="17" applyFill="1" applyBorder="1" applyAlignment="1">
      <alignment horizontal="center" vertical="center" textRotation="90"/>
    </xf>
    <xf numFmtId="0" fontId="1" fillId="8" borderId="66" xfId="17" applyFill="1" applyBorder="1" applyAlignment="1">
      <alignment horizontal="center" vertical="center" textRotation="90"/>
    </xf>
    <xf numFmtId="0" fontId="1" fillId="8" borderId="68" xfId="17" applyFill="1" applyBorder="1" applyAlignment="1">
      <alignment horizontal="center" vertical="center" textRotation="90"/>
    </xf>
    <xf numFmtId="0" fontId="1" fillId="8" borderId="67" xfId="17" applyFill="1" applyBorder="1" applyAlignment="1">
      <alignment horizontal="center" vertical="center" textRotation="90"/>
    </xf>
    <xf numFmtId="0" fontId="1" fillId="24" borderId="31" xfId="17" applyFill="1" applyBorder="1" applyAlignment="1">
      <alignment horizontal="center" vertical="center"/>
    </xf>
    <xf numFmtId="0" fontId="1" fillId="24" borderId="36" xfId="17" applyFill="1" applyBorder="1" applyAlignment="1">
      <alignment horizontal="center" vertical="center"/>
    </xf>
    <xf numFmtId="0" fontId="1" fillId="24" borderId="32" xfId="17" applyFill="1" applyBorder="1" applyAlignment="1">
      <alignment horizontal="center" vertical="center"/>
    </xf>
    <xf numFmtId="164" fontId="0" fillId="0" borderId="31" xfId="20" applyNumberFormat="1" applyFont="1" applyFill="1" applyBorder="1" applyAlignment="1">
      <alignment horizontal="center"/>
    </xf>
    <xf numFmtId="164" fontId="0" fillId="0" borderId="32" xfId="20" applyNumberFormat="1" applyFont="1" applyFill="1" applyBorder="1" applyAlignment="1">
      <alignment horizontal="center"/>
    </xf>
    <xf numFmtId="164" fontId="0" fillId="0" borderId="31" xfId="20" applyNumberFormat="1" applyFont="1" applyBorder="1" applyAlignment="1">
      <alignment horizontal="center"/>
    </xf>
    <xf numFmtId="164" fontId="0" fillId="0" borderId="32" xfId="20" applyNumberFormat="1" applyFont="1" applyBorder="1" applyAlignment="1">
      <alignment horizontal="center"/>
    </xf>
    <xf numFmtId="164" fontId="0" fillId="24" borderId="31" xfId="20" applyNumberFormat="1" applyFont="1" applyFill="1" applyBorder="1" applyAlignment="1">
      <alignment horizontal="center"/>
    </xf>
    <xf numFmtId="164" fontId="0" fillId="24" borderId="32" xfId="20" applyNumberFormat="1" applyFont="1" applyFill="1" applyBorder="1" applyAlignment="1">
      <alignment horizontal="center"/>
    </xf>
    <xf numFmtId="0" fontId="1" fillId="17" borderId="66" xfId="17" applyFill="1" applyBorder="1" applyAlignment="1">
      <alignment horizontal="center" vertical="center" textRotation="90"/>
    </xf>
    <xf numFmtId="0" fontId="1" fillId="17" borderId="68" xfId="17" applyFill="1" applyBorder="1" applyAlignment="1">
      <alignment horizontal="center" vertical="center" textRotation="90"/>
    </xf>
    <xf numFmtId="0" fontId="1" fillId="13" borderId="66" xfId="17" applyFill="1" applyBorder="1" applyAlignment="1">
      <alignment horizontal="center" vertical="center" textRotation="90"/>
    </xf>
    <xf numFmtId="0" fontId="1" fillId="13" borderId="68" xfId="17" applyFill="1" applyBorder="1" applyAlignment="1">
      <alignment horizontal="center" vertical="center" textRotation="90"/>
    </xf>
    <xf numFmtId="0" fontId="1" fillId="21" borderId="66" xfId="17" applyFill="1" applyBorder="1" applyAlignment="1">
      <alignment horizontal="center" vertical="center" textRotation="90"/>
    </xf>
    <xf numFmtId="0" fontId="1" fillId="21" borderId="68" xfId="17" applyFill="1" applyBorder="1" applyAlignment="1">
      <alignment horizontal="center" vertical="center" textRotation="90"/>
    </xf>
    <xf numFmtId="0" fontId="8" fillId="6" borderId="46" xfId="3" applyFont="1" applyFill="1" applyBorder="1" applyAlignment="1">
      <alignment horizontal="center"/>
    </xf>
    <xf numFmtId="0" fontId="8" fillId="6" borderId="47" xfId="3" applyFont="1" applyFill="1" applyBorder="1" applyAlignment="1">
      <alignment horizontal="center"/>
    </xf>
    <xf numFmtId="0" fontId="8" fillId="6" borderId="48" xfId="3" applyFont="1" applyFill="1" applyBorder="1" applyAlignment="1">
      <alignment horizontal="center"/>
    </xf>
    <xf numFmtId="0" fontId="4" fillId="0" borderId="14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23" fillId="2" borderId="81" xfId="0" applyFont="1" applyFill="1" applyBorder="1" applyAlignment="1">
      <alignment horizontal="center" vertical="top" wrapText="1"/>
    </xf>
    <xf numFmtId="0" fontId="23" fillId="2" borderId="82" xfId="0" applyFont="1" applyFill="1" applyBorder="1" applyAlignment="1">
      <alignment horizontal="center" vertical="top" wrapText="1"/>
    </xf>
    <xf numFmtId="0" fontId="23" fillId="2" borderId="83" xfId="0" applyFont="1" applyFill="1" applyBorder="1" applyAlignment="1">
      <alignment horizontal="center" vertical="top" wrapText="1"/>
    </xf>
    <xf numFmtId="0" fontId="5" fillId="2" borderId="84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3" fillId="0" borderId="86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84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0" fillId="0" borderId="8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7" fillId="4" borderId="90" xfId="0" applyFont="1" applyFill="1" applyBorder="1" applyAlignment="1">
      <alignment horizontal="left" vertical="top"/>
    </xf>
    <xf numFmtId="0" fontId="7" fillId="4" borderId="4" xfId="0" applyFont="1" applyFill="1" applyBorder="1" applyAlignment="1">
      <alignment horizontal="left" vertical="top"/>
    </xf>
    <xf numFmtId="0" fontId="3" fillId="0" borderId="88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0" fillId="0" borderId="86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7" fillId="0" borderId="14" xfId="0" applyFont="1" applyBorder="1" applyAlignment="1">
      <alignment horizontal="left" vertical="top"/>
    </xf>
    <xf numFmtId="0" fontId="0" fillId="0" borderId="51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1" fillId="18" borderId="19" xfId="17" applyFill="1" applyBorder="1" applyAlignment="1">
      <alignment horizontal="center"/>
    </xf>
    <xf numFmtId="0" fontId="1" fillId="19" borderId="19" xfId="17" applyFill="1" applyBorder="1" applyAlignment="1">
      <alignment horizontal="center"/>
    </xf>
    <xf numFmtId="0" fontId="1" fillId="20" borderId="57" xfId="17" applyFill="1" applyBorder="1" applyAlignment="1">
      <alignment horizontal="center"/>
    </xf>
    <xf numFmtId="0" fontId="1" fillId="20" borderId="36" xfId="17" applyFill="1" applyBorder="1" applyAlignment="1">
      <alignment horizontal="center"/>
    </xf>
    <xf numFmtId="0" fontId="1" fillId="20" borderId="58" xfId="17" applyFill="1" applyBorder="1" applyAlignment="1">
      <alignment horizontal="center"/>
    </xf>
    <xf numFmtId="0" fontId="1" fillId="16" borderId="33" xfId="17" applyFill="1" applyBorder="1" applyAlignment="1">
      <alignment horizontal="center"/>
    </xf>
    <xf numFmtId="0" fontId="1" fillId="16" borderId="6" xfId="17" applyFill="1" applyBorder="1" applyAlignment="1">
      <alignment horizontal="center"/>
    </xf>
    <xf numFmtId="0" fontId="1" fillId="16" borderId="34" xfId="17" applyFill="1" applyBorder="1" applyAlignment="1">
      <alignment horizontal="center"/>
    </xf>
    <xf numFmtId="0" fontId="1" fillId="16" borderId="31" xfId="17" applyFill="1" applyBorder="1" applyAlignment="1">
      <alignment horizontal="center"/>
    </xf>
    <xf numFmtId="0" fontId="1" fillId="16" borderId="36" xfId="17" applyFill="1" applyBorder="1" applyAlignment="1">
      <alignment horizontal="center"/>
    </xf>
    <xf numFmtId="0" fontId="1" fillId="16" borderId="32" xfId="17" applyFill="1" applyBorder="1" applyAlignment="1">
      <alignment horizontal="center"/>
    </xf>
  </cellXfs>
  <cellStyles count="21">
    <cellStyle name="Comma" xfId="8" builtinId="3"/>
    <cellStyle name="Comma 2" xfId="6" xr:uid="{EB7594F7-1649-4FDD-9B6E-1299D50E3058}"/>
    <cellStyle name="Comma 3" xfId="14" xr:uid="{B7D9354B-977E-5044-A00D-42E7FAEF884D}"/>
    <cellStyle name="Comma 4" xfId="19" xr:uid="{FE0D135B-7A19-E04E-BF7B-2F627022FF55}"/>
    <cellStyle name="Currency" xfId="1" builtinId="4"/>
    <cellStyle name="Currency 2" xfId="4" xr:uid="{AF829579-353F-4B0B-94CE-F936F4C5C626}"/>
    <cellStyle name="Currency 3" xfId="13" xr:uid="{B96AA0CF-BBA1-9D4F-AD95-61DCA0CE9B5F}"/>
    <cellStyle name="Currency 4" xfId="20" xr:uid="{12D4EB30-1FCF-7445-9E4D-8EDD32301872}"/>
    <cellStyle name="Date" xfId="15" xr:uid="{59F74A85-B2E9-E141-867E-75FD34A9C4F3}"/>
    <cellStyle name="Good" xfId="7" builtinId="26"/>
    <cellStyle name="Heading 1 2" xfId="11" xr:uid="{62AD88C6-BBC4-574A-9405-AC071A9C31CF}"/>
    <cellStyle name="Heading 2 2" xfId="12" xr:uid="{24634B7F-B641-AD41-881F-B3F36632DC3F}"/>
    <cellStyle name="Heading 3 2" xfId="16" xr:uid="{4AA954AF-CB49-6245-B7B4-98CDB5ABB17A}"/>
    <cellStyle name="Normal" xfId="0" builtinId="0"/>
    <cellStyle name="Normal 2" xfId="3" xr:uid="{A945D368-7C27-4C82-A22A-40D8A046DE27}"/>
    <cellStyle name="Normal 2 2" xfId="18" xr:uid="{34AF8162-6044-6449-9C9B-1D582DA76902}"/>
    <cellStyle name="Normal 3" xfId="10" xr:uid="{DA6B709C-A653-A14D-9391-65CBFC0F265E}"/>
    <cellStyle name="Normal 4" xfId="17" xr:uid="{83E9FCF3-5062-B842-8B7D-E60FFD250054}"/>
    <cellStyle name="Percent" xfId="2" builtinId="5"/>
    <cellStyle name="Percent 2" xfId="5" xr:uid="{97506C3C-D384-4B34-872A-2CBBC1F293CF}"/>
    <cellStyle name="Title 2" xfId="9" xr:uid="{C17CA9E1-5F9D-2144-A69B-7971149704AC}"/>
  </cellStyles>
  <dxfs count="0"/>
  <tableStyles count="0" defaultTableStyle="TableStyleMedium9" defaultPivotStyle="PivotStyleLight16"/>
  <colors>
    <mruColors>
      <color rgb="FFCCA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334</xdr:colOff>
      <xdr:row>21</xdr:row>
      <xdr:rowOff>4672</xdr:rowOff>
    </xdr:from>
    <xdr:to>
      <xdr:col>26</xdr:col>
      <xdr:colOff>493863</xdr:colOff>
      <xdr:row>36</xdr:row>
      <xdr:rowOff>7394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A4112EB-B61E-E249-82E5-C5F724C92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8289" y="3958990"/>
          <a:ext cx="6439436" cy="288908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w8/sgj16rf15lx4_skcx3qn_cyc0000gn/T/com.microsoft.Outlook/Outlook%20Temp/193737_CincinnatiUnited_Proform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ket comps"/>
      <sheetName val="original"/>
      <sheetName val="notes"/>
      <sheetName val="Summary Board"/>
      <sheetName val="summary"/>
      <sheetName val="cockpit"/>
      <sheetName val="CFs-&gt;"/>
      <sheetName val="combined"/>
      <sheetName val="res, market-rate"/>
      <sheetName val="res, condo"/>
      <sheetName val="res, affordable"/>
      <sheetName val="office"/>
      <sheetName val="retail"/>
      <sheetName val="hotel"/>
      <sheetName val="public bldgs"/>
      <sheetName val="parking"/>
      <sheetName val="acq-demo-repur"/>
      <sheetName val="infstrc"/>
      <sheetName val="amschedules-&gt;"/>
      <sheetName val="p1"/>
      <sheetName val="p2"/>
      <sheetName val="p3"/>
    </sheetNames>
    <definedNames>
      <definedName name="Interest_Rate" sheetId="20"/>
      <definedName name="Interest_Rate" sheetId="20"/>
      <definedName name="Interest_Rate" sheetId="20"/>
      <definedName name="Interest_Rate" refersTo="='p2'!$E$4"/>
      <definedName name="Loan_Amount" sheetId="20"/>
      <definedName name="Loan_Amount" sheetId="20"/>
      <definedName name="Loan_Amount" sheetId="20"/>
      <definedName name="Loan_Amount" refersTo="='p2'!$E$3"/>
      <definedName name="Monthly_Payment" sheetId="20"/>
      <definedName name="Monthly_Payment" sheetId="20"/>
      <definedName name="Monthly_Payment" refersTo="#REF!"/>
      <definedName name="Number_of_Payments" sheetId="20"/>
      <definedName name="Number_of_Payments" sheetId="20"/>
      <definedName name="Number_of_Payments" refersTo="='p2'!$E$9"/>
      <definedName name="Payment_Number" sheetId="20"/>
      <definedName name="Payment_Number" sheetId="20"/>
      <definedName name="Payment_Number" sheetId="20"/>
      <definedName name="Payment_Number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4">
          <cell r="K24">
            <v>1</v>
          </cell>
          <cell r="L24">
            <v>2</v>
          </cell>
          <cell r="M24">
            <v>3</v>
          </cell>
        </row>
        <row r="25">
          <cell r="M25">
            <v>5</v>
          </cell>
        </row>
        <row r="26">
          <cell r="M26">
            <v>7</v>
          </cell>
        </row>
        <row r="28">
          <cell r="K28">
            <v>2</v>
          </cell>
        </row>
        <row r="29">
          <cell r="K29">
            <v>0.15</v>
          </cell>
        </row>
        <row r="30">
          <cell r="S30">
            <v>6.5000000000000002E-2</v>
          </cell>
        </row>
        <row r="31">
          <cell r="S31">
            <v>30</v>
          </cell>
        </row>
        <row r="50">
          <cell r="K50">
            <v>10</v>
          </cell>
        </row>
      </sheetData>
      <sheetData sheetId="6" refreshError="1"/>
      <sheetData sheetId="7"/>
      <sheetData sheetId="8"/>
      <sheetData sheetId="9"/>
      <sheetData sheetId="10">
        <row r="15">
          <cell r="F15">
            <v>0</v>
          </cell>
          <cell r="G15">
            <v>0</v>
          </cell>
          <cell r="H15">
            <v>-598775.20016174996</v>
          </cell>
          <cell r="I15">
            <v>-610750.70416498487</v>
          </cell>
          <cell r="J15">
            <v>-622965.71824828465</v>
          </cell>
          <cell r="K15">
            <v>-635425.03261325043</v>
          </cell>
          <cell r="L15">
            <v>-648133.53326551546</v>
          </cell>
          <cell r="M15">
            <v>-661096.20393082558</v>
          </cell>
          <cell r="N15">
            <v>-674318.12800944212</v>
          </cell>
        </row>
        <row r="19">
          <cell r="F19">
            <v>0</v>
          </cell>
          <cell r="G19">
            <v>0</v>
          </cell>
        </row>
      </sheetData>
      <sheetData sheetId="11">
        <row r="21">
          <cell r="I21">
            <v>-17793.590982499994</v>
          </cell>
          <cell r="J21">
            <v>-26690.386473749993</v>
          </cell>
          <cell r="K21">
            <v>-26690.386473749993</v>
          </cell>
        </row>
      </sheetData>
      <sheetData sheetId="12"/>
      <sheetData sheetId="13">
        <row r="18">
          <cell r="H18">
            <v>179126.9637694963</v>
          </cell>
          <cell r="I18">
            <v>182709.50304488619</v>
          </cell>
          <cell r="J18">
            <v>186363.69310578392</v>
          </cell>
          <cell r="K18">
            <v>190090.96696789964</v>
          </cell>
        </row>
        <row r="22">
          <cell r="F22">
            <v>0</v>
          </cell>
          <cell r="G22">
            <v>0</v>
          </cell>
          <cell r="H22">
            <v>0</v>
          </cell>
        </row>
      </sheetData>
      <sheetData sheetId="14"/>
      <sheetData sheetId="15"/>
      <sheetData sheetId="16" refreshError="1"/>
      <sheetData sheetId="17"/>
      <sheetData sheetId="18" refreshError="1"/>
      <sheetData sheetId="19">
        <row r="3">
          <cell r="E3">
            <v>349305316.03269267</v>
          </cell>
        </row>
        <row r="4">
          <cell r="E4">
            <v>6.5000000000000002E-2</v>
          </cell>
        </row>
        <row r="5">
          <cell r="E5">
            <v>30</v>
          </cell>
        </row>
        <row r="6">
          <cell r="E6">
            <v>43831</v>
          </cell>
        </row>
        <row r="9">
          <cell r="E9">
            <v>360</v>
          </cell>
        </row>
        <row r="17">
          <cell r="B17" t="str">
            <v>No.</v>
          </cell>
          <cell r="C17" t="str">
            <v>Column1</v>
          </cell>
          <cell r="D17" t="str">
            <v>Beginning
Balance</v>
          </cell>
          <cell r="E17" t="str">
            <v>Payment</v>
          </cell>
          <cell r="F17" t="str">
            <v>Principal</v>
          </cell>
          <cell r="G17" t="str">
            <v>Interest</v>
          </cell>
          <cell r="H17" t="str">
            <v>Ending
Balance</v>
          </cell>
        </row>
      </sheetData>
      <sheetData sheetId="20">
        <row r="3">
          <cell r="E3">
            <v>204362521.39610708</v>
          </cell>
        </row>
        <row r="4">
          <cell r="E4">
            <v>6.5000000000000002E-2</v>
          </cell>
        </row>
        <row r="9">
          <cell r="E9">
            <v>360</v>
          </cell>
        </row>
      </sheetData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BDC63-4B73-4FB5-8AB9-141434379A57}">
  <sheetPr>
    <tabColor theme="6" tint="0.79998168889431442"/>
  </sheetPr>
  <dimension ref="B1:Y78"/>
  <sheetViews>
    <sheetView tabSelected="1" zoomScale="91" zoomScaleNormal="80" workbookViewId="0">
      <selection activeCell="O28" sqref="O28"/>
    </sheetView>
  </sheetViews>
  <sheetFormatPr defaultColWidth="9.33203125" defaultRowHeight="15"/>
  <cols>
    <col min="1" max="1" width="5" style="23" customWidth="1"/>
    <col min="2" max="2" width="39.33203125" style="23" bestFit="1" customWidth="1"/>
    <col min="3" max="3" width="20.6640625" style="23" bestFit="1" customWidth="1"/>
    <col min="4" max="4" width="26.33203125" style="23" bestFit="1" customWidth="1"/>
    <col min="5" max="5" width="21.83203125" style="23" bestFit="1" customWidth="1"/>
    <col min="6" max="6" width="18" style="23" bestFit="1" customWidth="1"/>
    <col min="7" max="7" width="20" style="23" bestFit="1" customWidth="1"/>
    <col min="8" max="8" width="26.1640625" style="23" customWidth="1"/>
    <col min="9" max="10" width="19.83203125" style="23" customWidth="1"/>
    <col min="11" max="11" width="18" style="23" bestFit="1" customWidth="1"/>
    <col min="12" max="12" width="19.83203125" style="23" bestFit="1" customWidth="1"/>
    <col min="13" max="13" width="20" style="23" bestFit="1" customWidth="1"/>
    <col min="14" max="14" width="19.1640625" style="23" bestFit="1" customWidth="1"/>
    <col min="15" max="15" width="19.1640625" style="23" customWidth="1"/>
    <col min="16" max="16" width="18.83203125" style="23" customWidth="1"/>
    <col min="17" max="17" width="28.83203125" style="23" customWidth="1"/>
    <col min="18" max="18" width="22" style="23" customWidth="1"/>
    <col min="19" max="19" width="20.33203125" style="23" bestFit="1" customWidth="1"/>
    <col min="20" max="16384" width="9.33203125" style="23"/>
  </cols>
  <sheetData>
    <row r="1" spans="2:25" ht="8.25" customHeight="1" thickBot="1"/>
    <row r="2" spans="2:25" ht="15.95" thickBot="1">
      <c r="B2" s="637" t="s">
        <v>0</v>
      </c>
      <c r="C2" s="639"/>
      <c r="E2" s="637" t="s">
        <v>1</v>
      </c>
      <c r="F2" s="638"/>
      <c r="G2" s="639"/>
      <c r="I2" s="637" t="s">
        <v>2</v>
      </c>
      <c r="J2" s="639"/>
      <c r="L2" s="637" t="s">
        <v>3</v>
      </c>
      <c r="M2" s="638"/>
      <c r="N2" s="638"/>
      <c r="O2" s="122"/>
      <c r="Q2" s="637" t="s">
        <v>4</v>
      </c>
      <c r="R2" s="638"/>
      <c r="S2" s="639"/>
    </row>
    <row r="3" spans="2:25">
      <c r="B3" s="41" t="s">
        <v>5</v>
      </c>
      <c r="C3" s="611">
        <f>Cost!E4+Cost!E5+Cost!E6</f>
        <v>13372224</v>
      </c>
      <c r="E3" s="41"/>
      <c r="F3" s="23" t="s">
        <v>6</v>
      </c>
      <c r="G3" s="42" t="s">
        <v>7</v>
      </c>
      <c r="I3" s="41" t="s">
        <v>8</v>
      </c>
      <c r="J3" s="43">
        <f>Assumptions!D16</f>
        <v>0.7</v>
      </c>
      <c r="L3" s="41"/>
      <c r="M3" s="84" t="s">
        <v>9</v>
      </c>
      <c r="N3" s="84" t="s">
        <v>10</v>
      </c>
      <c r="O3" s="615" t="s">
        <v>11</v>
      </c>
      <c r="Q3" s="640" t="s">
        <v>12</v>
      </c>
      <c r="R3" s="641"/>
      <c r="S3" s="592">
        <v>3.97</v>
      </c>
    </row>
    <row r="4" spans="2:25">
      <c r="B4" s="41" t="s">
        <v>13</v>
      </c>
      <c r="C4" s="612">
        <f>Cost!E8</f>
        <v>223097500</v>
      </c>
      <c r="E4" s="41" t="s">
        <v>14</v>
      </c>
      <c r="F4" s="618">
        <f>'Retail NOI'!C30</f>
        <v>8.6999999999999994E-2</v>
      </c>
      <c r="G4" s="62">
        <f>'Retail NOI'!C31</f>
        <v>79620046.107011497</v>
      </c>
      <c r="I4" s="41" t="s">
        <v>15</v>
      </c>
      <c r="J4" s="43">
        <v>0.3</v>
      </c>
      <c r="L4" s="80" t="s">
        <v>16</v>
      </c>
      <c r="M4" s="61">
        <f>SUM(I!D20:G20)-SUM(I!D23:G23)-SUM(I!D24:G24)-I!D25+SUM(I!D26:G26)</f>
        <v>-105172334.15276583</v>
      </c>
      <c r="N4" s="61">
        <f>SUM(II!H20:J20)-SUM(II!H23:J23)-SUM(II!H24:J24)+SUM(II!H26:J26)</f>
        <v>-92900546.154364377</v>
      </c>
      <c r="O4" s="62">
        <f>SUM(III!K20:M20)-SUM(III!K23:M23)-SUM(III!K24:M24)+SUM(III!K26:M26)</f>
        <v>-103729422.02758656</v>
      </c>
      <c r="Q4" s="642" t="s">
        <v>17</v>
      </c>
      <c r="R4" s="643"/>
      <c r="S4" s="468">
        <v>0.93</v>
      </c>
      <c r="T4" s="84"/>
      <c r="U4" s="84" t="s">
        <v>18</v>
      </c>
      <c r="Y4" s="84"/>
    </row>
    <row r="5" spans="2:25">
      <c r="B5" s="80" t="s">
        <v>19</v>
      </c>
      <c r="C5" s="612">
        <f>Cost!E7</f>
        <v>7577212</v>
      </c>
      <c r="E5" s="41" t="s">
        <v>20</v>
      </c>
      <c r="F5" s="618">
        <f>'Affordable Housing NOI'!C32</f>
        <v>5.8299999999999998E-2</v>
      </c>
      <c r="G5" s="62">
        <f>'Affordable Housing NOI'!C38</f>
        <v>109700030.36020581</v>
      </c>
      <c r="I5" s="41" t="s">
        <v>21</v>
      </c>
      <c r="J5" s="619">
        <f>Assumptions!D17</f>
        <v>4.4999999999999998E-2</v>
      </c>
      <c r="L5" s="80" t="s">
        <v>22</v>
      </c>
      <c r="M5" s="614">
        <v>0.104</v>
      </c>
      <c r="N5" s="614">
        <v>3.3000000000000002E-2</v>
      </c>
      <c r="O5" s="616">
        <v>7.0999999999999994E-2</v>
      </c>
      <c r="Q5" s="642" t="s">
        <v>23</v>
      </c>
      <c r="R5" s="643"/>
      <c r="S5" s="460">
        <v>1.4999999999999999E-2</v>
      </c>
    </row>
    <row r="6" spans="2:25">
      <c r="B6" s="41" t="s">
        <v>24</v>
      </c>
      <c r="C6" s="613">
        <f>Cost!E9+Cost!E27</f>
        <v>100763218.47999999</v>
      </c>
      <c r="E6" s="41" t="s">
        <v>25</v>
      </c>
      <c r="F6" s="618">
        <f>'Office NOI'!C30</f>
        <v>8.2500000000000004E-2</v>
      </c>
      <c r="G6" s="62">
        <f>'Office NOI'!C31</f>
        <v>100113497.46637577</v>
      </c>
      <c r="I6" s="41" t="s">
        <v>26</v>
      </c>
      <c r="J6" s="619">
        <v>0.15</v>
      </c>
      <c r="L6" s="80" t="s">
        <v>27</v>
      </c>
      <c r="M6" s="614">
        <v>0.13200000000000001</v>
      </c>
      <c r="N6" s="614">
        <v>8.7999999999999995E-2</v>
      </c>
      <c r="O6" s="616">
        <f>AVERAGE(M6:N6)</f>
        <v>0.11</v>
      </c>
      <c r="Q6" s="642" t="s">
        <v>28</v>
      </c>
      <c r="R6" s="643"/>
      <c r="S6" s="461">
        <v>0.03</v>
      </c>
    </row>
    <row r="7" spans="2:25" ht="15.95" thickBot="1">
      <c r="B7" s="41" t="s">
        <v>29</v>
      </c>
      <c r="C7" s="611">
        <f>SUM(C3:C6)</f>
        <v>344810154.48000002</v>
      </c>
      <c r="E7" s="41" t="s">
        <v>30</v>
      </c>
      <c r="F7" s="618">
        <f>'Park+Greenspace Space NOI'!C30</f>
        <v>0.1</v>
      </c>
      <c r="G7" s="62">
        <f>'Park+Greenspace Space NOI'!C31</f>
        <v>26518096.199999999</v>
      </c>
      <c r="I7" s="41" t="s">
        <v>31</v>
      </c>
      <c r="J7" s="619">
        <f>(J5*J3)+(J6*J4)</f>
        <v>7.6499999999999999E-2</v>
      </c>
      <c r="L7" s="124" t="s">
        <v>32</v>
      </c>
      <c r="M7" s="620">
        <f>SUM(E34:H34)/SUM(E33:H33)</f>
        <v>-2.5235973835917296</v>
      </c>
      <c r="N7" s="617">
        <f>SUM(I27:K27)/SUM(I34:K34)</f>
        <v>0.87049256173258083</v>
      </c>
      <c r="O7" s="538">
        <f>SUM(L27:N27)/SUM(L34:N34)</f>
        <v>0.9052680922160844</v>
      </c>
      <c r="Q7" s="642" t="s">
        <v>33</v>
      </c>
      <c r="R7" s="643"/>
      <c r="S7" s="460">
        <v>5.8299999999999998E-2</v>
      </c>
    </row>
    <row r="8" spans="2:25" ht="15.95" thickBot="1">
      <c r="B8" s="41"/>
      <c r="C8" s="611"/>
      <c r="E8" s="41" t="s">
        <v>19</v>
      </c>
      <c r="F8" s="618">
        <f>'Parking NOI'!C34</f>
        <v>7.0000000000000007E-2</v>
      </c>
      <c r="G8" s="62">
        <f>'Parking NOI'!C35</f>
        <v>147222569.03571427</v>
      </c>
      <c r="I8" s="124" t="s">
        <v>34</v>
      </c>
      <c r="J8" s="433">
        <v>0.10249999999999999</v>
      </c>
      <c r="M8" s="618"/>
      <c r="N8" s="61"/>
      <c r="Q8" s="642" t="s">
        <v>35</v>
      </c>
      <c r="R8" s="643"/>
      <c r="S8" s="460">
        <f>'Market Housing NOI'!E31</f>
        <v>0.14826223215056256</v>
      </c>
    </row>
    <row r="9" spans="2:25" ht="15.95" thickBot="1">
      <c r="B9" s="124" t="s">
        <v>36</v>
      </c>
      <c r="C9" s="71">
        <f>Cost!I4</f>
        <v>212858345.09943664</v>
      </c>
      <c r="E9" s="41"/>
      <c r="F9" s="23" t="s">
        <v>37</v>
      </c>
      <c r="G9" s="62">
        <f>SUM(G4:G8)</f>
        <v>463174239.16930735</v>
      </c>
      <c r="N9" s="61"/>
      <c r="Q9" s="647" t="s">
        <v>38</v>
      </c>
      <c r="R9" s="648"/>
      <c r="S9" s="462">
        <f>F6</f>
        <v>8.2500000000000004E-2</v>
      </c>
    </row>
    <row r="10" spans="2:25" ht="15.95" thickBot="1">
      <c r="E10" s="644"/>
      <c r="F10" s="645"/>
      <c r="G10" s="71"/>
      <c r="L10" s="646"/>
      <c r="M10" s="646"/>
      <c r="N10" s="123"/>
    </row>
    <row r="11" spans="2:25">
      <c r="J11" s="39"/>
    </row>
    <row r="12" spans="2:25" ht="15.95" thickBot="1"/>
    <row r="13" spans="2:25" customFormat="1" ht="18.95">
      <c r="B13" s="594" t="s">
        <v>39</v>
      </c>
      <c r="C13" s="595"/>
      <c r="D13" s="596">
        <v>2023</v>
      </c>
      <c r="E13" s="596">
        <v>2024</v>
      </c>
      <c r="F13" s="596">
        <v>2025</v>
      </c>
      <c r="G13" s="596">
        <v>2026</v>
      </c>
      <c r="H13" s="596">
        <v>2027</v>
      </c>
      <c r="I13" s="597">
        <v>2028</v>
      </c>
      <c r="J13" s="596">
        <v>2029</v>
      </c>
      <c r="K13" s="597">
        <v>2030</v>
      </c>
      <c r="L13" s="596">
        <v>2031</v>
      </c>
      <c r="M13" s="596">
        <v>2032</v>
      </c>
      <c r="N13" s="598">
        <v>2033</v>
      </c>
      <c r="O13" s="463"/>
    </row>
    <row r="14" spans="2:25" customFormat="1" ht="14.1">
      <c r="B14" s="599" t="s">
        <v>40</v>
      </c>
      <c r="C14" s="55"/>
      <c r="D14" s="55"/>
      <c r="E14" s="10">
        <f>'Retail NOI'!E4+'Affordable Housing NOI'!E4+'Office NOI'!E4+'Park+Greenspace Space NOI'!E4+'Parking NOI'!E4+'Market Housing NOI'!E4+'Retail NOI'!E4+'Hotel NOI'!E4</f>
        <v>7666462</v>
      </c>
      <c r="F14" s="10">
        <f>'Retail NOI'!F4+'Affordable Housing NOI'!F4+'Office NOI'!F4+'Park+Greenspace Space NOI'!F4+'Parking NOI'!F4+'Market Housing NOI'!F4+'Retail NOI'!F4+'Hotel NOI'!F4</f>
        <v>15433774</v>
      </c>
      <c r="G14" s="10">
        <f>'Retail NOI'!G4+'Affordable Housing NOI'!G4+'Office NOI'!G4+'Park+Greenspace Space NOI'!G4+'Parking NOI'!G4+'Market Housing NOI'!G4+'Retail NOI'!G4+'Hotel NOI'!G4</f>
        <v>22638326</v>
      </c>
      <c r="H14" s="10">
        <f>'Retail NOI'!H4+'Affordable Housing NOI'!H4+'Office NOI'!H4+'Park+Greenspace Space NOI'!H4+'Parking NOI'!H4+'Market Housing NOI'!H4+'Retail NOI'!H4+'Hotel NOI'!H4</f>
        <v>35348406</v>
      </c>
      <c r="I14" s="10">
        <f>'Retail NOI'!I4+'Affordable Housing NOI'!I4+'Office NOI'!I4+'Park+Greenspace Space NOI'!I4+'Parking NOI'!I4+'Market Housing NOI'!I4+'Retail NOI'!I4+'Hotel NOI'!I4</f>
        <v>38818066</v>
      </c>
      <c r="J14" s="10">
        <f>'Retail NOI'!J4+'Affordable Housing NOI'!J4+'Office NOI'!J4+'Park+Greenspace Space NOI'!J4+'Parking NOI'!J4+'Market Housing NOI'!J4+'Retail NOI'!J4+'Hotel NOI'!J4</f>
        <v>42977348</v>
      </c>
      <c r="K14" s="10">
        <f>'Retail NOI'!K4+'Affordable Housing NOI'!K4+'Office NOI'!K4+'Park+Greenspace Space NOI'!K4+'Parking NOI'!K4+'Market Housing NOI'!K4+'Retail NOI'!K4+'Hotel NOI'!K4</f>
        <v>35119872</v>
      </c>
      <c r="L14" s="10">
        <f>'Retail NOI'!L4+'Affordable Housing NOI'!L4+'Office NOI'!L4+'Park+Greenspace Space NOI'!L4+'Parking NOI'!L4+'Market Housing NOI'!L4+'Retail NOI'!L4+'Hotel NOI'!L4</f>
        <v>35119872</v>
      </c>
      <c r="M14" s="10">
        <f>'Retail NOI'!M4+'Affordable Housing NOI'!M4+'Office NOI'!M4+'Park+Greenspace Space NOI'!M4+'Parking NOI'!M4+'Market Housing NOI'!M4+'Retail NOI'!M4+'Hotel NOI'!M4</f>
        <v>43603107</v>
      </c>
      <c r="N14" s="564">
        <f>'Retail NOI'!N4+'Affordable Housing NOI'!N4+'Office NOI'!N4+'Park+Greenspace Space NOI'!N4+'Parking NOI'!N4+'Market Housing NOI'!N4+'Retail NOI'!N4+'Hotel NOI'!N4</f>
        <v>52921113</v>
      </c>
    </row>
    <row r="15" spans="2:25" customFormat="1" ht="14.1">
      <c r="B15" s="600" t="s">
        <v>41</v>
      </c>
      <c r="C15" s="601"/>
      <c r="D15" s="601"/>
      <c r="E15" s="10">
        <f>'Retail NOI'!E5+'Affordable Housing NOI'!E5+'Office NOI'!E5+'Park+Greenspace Space NOI'!E5+'Parking NOI'!E5+'Market Housing NOI'!E5+'Retail NOI'!E5+'Hotel NOI'!E5</f>
        <v>-619629.33379999991</v>
      </c>
      <c r="F15" s="10">
        <f>'Retail NOI'!F5+'Affordable Housing NOI'!F5+'Office NOI'!F5+'Park+Greenspace Space NOI'!F5+'Parking NOI'!F5+'Market Housing NOI'!F5+'Retail NOI'!F5+'Hotel NOI'!F5</f>
        <v>-1354206.2520000001</v>
      </c>
      <c r="G15" s="10">
        <f>'Retail NOI'!G5+'Affordable Housing NOI'!G5+'Office NOI'!G5+'Park+Greenspace Space NOI'!G5+'Parking NOI'!G5+'Market Housing NOI'!G5+'Retail NOI'!G5+'Hotel NOI'!G5</f>
        <v>-2103958.9002</v>
      </c>
      <c r="H15" s="10">
        <f>'Retail NOI'!H5+'Affordable Housing NOI'!H5+'Office NOI'!H5+'Park+Greenspace Space NOI'!H5+'Parking NOI'!H5+'Market Housing NOI'!H5+'Retail NOI'!H5+'Hotel NOI'!H5</f>
        <v>-2717357.8962000003</v>
      </c>
      <c r="I15" s="10">
        <f>'Retail NOI'!I5+'Affordable Housing NOI'!I5+'Office NOI'!I5+'Park+Greenspace Space NOI'!I5+'Parking NOI'!I5+'Market Housing NOI'!I5+'Retail NOI'!I5+'Hotel NOI'!I5</f>
        <v>-3095092.7022000002</v>
      </c>
      <c r="J15" s="10">
        <f>'Retail NOI'!J5+'Affordable Housing NOI'!J5+'Office NOI'!J5+'Park+Greenspace Space NOI'!J5+'Parking NOI'!J5+'Market Housing NOI'!J5+'Retail NOI'!J5+'Hotel NOI'!J5</f>
        <v>-3398394.3162000007</v>
      </c>
      <c r="K15" s="10">
        <f>'Retail NOI'!K5+'Affordable Housing NOI'!K5+'Office NOI'!K5+'Park+Greenspace Space NOI'!K5+'Parking NOI'!K5+'Market Housing NOI'!K5+'Retail NOI'!K5+'Hotel NOI'!K5</f>
        <v>-3131755.4561999999</v>
      </c>
      <c r="L15" s="10">
        <f>'Retail NOI'!L5+'Affordable Housing NOI'!L5+'Office NOI'!L5+'Park+Greenspace Space NOI'!L5+'Parking NOI'!L5+'Market Housing NOI'!L5+'Retail NOI'!L5+'Hotel NOI'!L5</f>
        <v>-3131755.4561999999</v>
      </c>
      <c r="M15" s="10">
        <f>'Retail NOI'!M5+'Affordable Housing NOI'!M5+'Office NOI'!M5+'Park+Greenspace Space NOI'!M5+'Parking NOI'!M5+'Market Housing NOI'!M5+'Retail NOI'!M5+'Hotel NOI'!M5</f>
        <v>-3368703.0222</v>
      </c>
      <c r="N15" s="564">
        <f>'Retail NOI'!N5+'Affordable Housing NOI'!N5+'Office NOI'!N5+'Park+Greenspace Space NOI'!N5+'Parking NOI'!N5+'Market Housing NOI'!N5+'Retail NOI'!N5+'Hotel NOI'!N5</f>
        <v>-4495986.9128</v>
      </c>
    </row>
    <row r="16" spans="2:25" customFormat="1" ht="14.1">
      <c r="B16" s="602" t="s">
        <v>42</v>
      </c>
      <c r="C16" s="603"/>
      <c r="D16" s="603"/>
      <c r="E16" s="10">
        <f>E14+E15</f>
        <v>7046832.6661999999</v>
      </c>
      <c r="F16" s="10">
        <f t="shared" ref="F16:N16" si="0">F14+F15</f>
        <v>14079567.748</v>
      </c>
      <c r="G16" s="10">
        <f t="shared" si="0"/>
        <v>20534367.099799998</v>
      </c>
      <c r="H16" s="10">
        <f t="shared" si="0"/>
        <v>32631048.103799999</v>
      </c>
      <c r="I16" s="443">
        <f t="shared" si="0"/>
        <v>35722973.297799997</v>
      </c>
      <c r="J16" s="10">
        <f t="shared" si="0"/>
        <v>39578953.683799997</v>
      </c>
      <c r="K16" s="452">
        <f t="shared" si="0"/>
        <v>31988116.5438</v>
      </c>
      <c r="L16" s="10">
        <f t="shared" si="0"/>
        <v>31988116.5438</v>
      </c>
      <c r="M16" s="10">
        <f t="shared" si="0"/>
        <v>40234403.977799997</v>
      </c>
      <c r="N16" s="564">
        <f t="shared" si="0"/>
        <v>48425126.087200001</v>
      </c>
    </row>
    <row r="17" spans="2:14" customFormat="1" ht="14.1">
      <c r="B17" s="604" t="s">
        <v>43</v>
      </c>
      <c r="C17" s="56"/>
      <c r="D17" s="56"/>
      <c r="E17" s="10">
        <f>'Retail NOI'!E7+'Affordable Housing NOI'!E7+'Office NOI'!E7+'Park+Greenspace Space NOI'!E7+'Parking NOI'!E7+'Retail NOI'!E7</f>
        <v>17822500</v>
      </c>
      <c r="F17" s="10">
        <f>'Retail NOI'!F7+'Affordable Housing NOI'!F7+'Office NOI'!F7+'Park+Greenspace Space NOI'!F7+'Parking NOI'!F7+'Retail NOI'!F7</f>
        <v>17822500</v>
      </c>
      <c r="G17" s="10">
        <f>'Retail NOI'!G7+'Affordable Housing NOI'!G7+'Office NOI'!G7+'Park+Greenspace Space NOI'!G7+'Parking NOI'!G7+'Retail NOI'!G7</f>
        <v>17822500</v>
      </c>
      <c r="H17" s="10">
        <f>'Retail NOI'!H7+'Affordable Housing NOI'!H7+'Office NOI'!H7+'Park+Greenspace Space NOI'!H7+'Parking NOI'!H7+'Retail NOI'!H7</f>
        <v>17822500</v>
      </c>
      <c r="I17" s="10">
        <f>'Retail NOI'!I7+'Affordable Housing NOI'!I7+'Office NOI'!I7+'Park+Greenspace Space NOI'!I7+'Parking NOI'!I7+'Retail NOI'!I7</f>
        <v>17822500</v>
      </c>
      <c r="J17" s="10">
        <f>'Retail NOI'!J7+'Affordable Housing NOI'!J7+'Office NOI'!J7+'Park+Greenspace Space NOI'!J7+'Parking NOI'!J7+'Retail NOI'!J7</f>
        <v>17822500</v>
      </c>
      <c r="K17" s="10">
        <f>'Retail NOI'!K7+'Affordable Housing NOI'!K7+'Office NOI'!K7+'Park+Greenspace Space NOI'!K7+'Parking NOI'!K7+'Retail NOI'!K7</f>
        <v>17822500</v>
      </c>
      <c r="L17" s="10">
        <f>'Retail NOI'!L7+'Affordable Housing NOI'!L7+'Office NOI'!L7+'Park+Greenspace Space NOI'!L7+'Parking NOI'!L7+'Retail NOI'!L7</f>
        <v>17822500</v>
      </c>
      <c r="M17" s="10">
        <f>'Retail NOI'!M7+'Affordable Housing NOI'!M7+'Office NOI'!M7+'Park+Greenspace Space NOI'!M7+'Parking NOI'!M7+'Retail NOI'!M7</f>
        <v>17822500</v>
      </c>
      <c r="N17" s="564">
        <f>'Retail NOI'!N7+'Affordable Housing NOI'!N7+'Office NOI'!N7+'Park+Greenspace Space NOI'!N7+'Parking NOI'!N7+'Retail NOI'!N7</f>
        <v>17822500</v>
      </c>
    </row>
    <row r="18" spans="2:14" customFormat="1" ht="14.1">
      <c r="B18" s="604" t="s">
        <v>44</v>
      </c>
      <c r="C18" s="56"/>
      <c r="D18" s="56"/>
      <c r="E18" s="11">
        <f>E16+E17</f>
        <v>24869332.666200001</v>
      </c>
      <c r="F18" s="11">
        <f t="shared" ref="F18:N18" si="1">F16+F17</f>
        <v>31902067.748</v>
      </c>
      <c r="G18" s="11">
        <f t="shared" si="1"/>
        <v>38356867.099799998</v>
      </c>
      <c r="H18" s="11">
        <f t="shared" si="1"/>
        <v>50453548.103799999</v>
      </c>
      <c r="I18" s="449">
        <f t="shared" si="1"/>
        <v>53545473.297799997</v>
      </c>
      <c r="J18" s="11">
        <f t="shared" si="1"/>
        <v>57401453.683799997</v>
      </c>
      <c r="K18" s="453">
        <f t="shared" si="1"/>
        <v>49810616.543799996</v>
      </c>
      <c r="L18" s="11">
        <f t="shared" si="1"/>
        <v>49810616.543799996</v>
      </c>
      <c r="M18" s="11">
        <f t="shared" si="1"/>
        <v>58056903.977799997</v>
      </c>
      <c r="N18" s="605">
        <f t="shared" si="1"/>
        <v>66247626.087200001</v>
      </c>
    </row>
    <row r="19" spans="2:14" customFormat="1" ht="12.75" customHeight="1">
      <c r="B19" s="606" t="s">
        <v>45</v>
      </c>
      <c r="C19" s="57"/>
      <c r="D19" s="57"/>
      <c r="E19" s="1"/>
      <c r="F19" s="3"/>
      <c r="G19" s="4"/>
      <c r="H19" s="5"/>
      <c r="I19" s="450"/>
      <c r="J19" s="4"/>
      <c r="K19" s="454"/>
      <c r="L19" s="5"/>
      <c r="M19" s="5"/>
      <c r="N19" s="558"/>
    </row>
    <row r="20" spans="2:14" customFormat="1" ht="14.1">
      <c r="B20" s="600" t="s">
        <v>46</v>
      </c>
      <c r="C20" s="601"/>
      <c r="D20" s="601"/>
      <c r="E20" s="16">
        <f>'Retail NOI'!E10+'Affordable Housing NOI'!E10+'Office NOI'!E10+'Park+Greenspace Space NOI'!E10+'Parking NOI'!E10+'Market Housing NOI'!E10+'Retail NOI'!E10+'Hotel NOI'!E10</f>
        <v>-11852247</v>
      </c>
      <c r="F20" s="16">
        <f>'Retail NOI'!F10+'Affordable Housing NOI'!F10+'Office NOI'!F10+'Park+Greenspace Space NOI'!F10+'Parking NOI'!F10+'Market Housing NOI'!F10+'Retail NOI'!F10+'Hotel NOI'!F10</f>
        <v>-24474747</v>
      </c>
      <c r="G20" s="16">
        <f>'Retail NOI'!G10+'Affordable Housing NOI'!G10+'Office NOI'!G10+'Park+Greenspace Space NOI'!G10+'Parking NOI'!G10+'Market Housing NOI'!G10+'Retail NOI'!G10+'Hotel NOI'!G10</f>
        <v>-24474747</v>
      </c>
      <c r="H20" s="16">
        <f>'Retail NOI'!H10+'Affordable Housing NOI'!H10+'Office NOI'!H10+'Park+Greenspace Space NOI'!H10+'Parking NOI'!H10+'Market Housing NOI'!H10+'Retail NOI'!H10+'Hotel NOI'!H10</f>
        <v>-24474747</v>
      </c>
      <c r="I20" s="16">
        <f>'Retail NOI'!I10+'Affordable Housing NOI'!I10+'Office NOI'!I10+'Park+Greenspace Space NOI'!I10+'Parking NOI'!I10+'Market Housing NOI'!I10+'Retail NOI'!I10+'Hotel NOI'!I10</f>
        <v>-24474747</v>
      </c>
      <c r="J20" s="16">
        <f>'Retail NOI'!J10+'Affordable Housing NOI'!J10+'Office NOI'!J10+'Park+Greenspace Space NOI'!J10+'Parking NOI'!J10+'Market Housing NOI'!J10+'Retail NOI'!J10+'Hotel NOI'!J10</f>
        <v>-24474747</v>
      </c>
      <c r="K20" s="16">
        <f>'Retail NOI'!K10+'Affordable Housing NOI'!K10+'Office NOI'!K10+'Park+Greenspace Space NOI'!K10+'Parking NOI'!K10+'Market Housing NOI'!K10+'Retail NOI'!K10+'Hotel NOI'!K10</f>
        <v>-24474747</v>
      </c>
      <c r="L20" s="16">
        <f>'Retail NOI'!L10+'Affordable Housing NOI'!L10+'Office NOI'!L10+'Park+Greenspace Space NOI'!L10+'Parking NOI'!L10+'Market Housing NOI'!L10+'Retail NOI'!L10+'Hotel NOI'!L10</f>
        <v>-24474747</v>
      </c>
      <c r="M20" s="16">
        <f>'Retail NOI'!M10+'Affordable Housing NOI'!M10+'Office NOI'!M10+'Park+Greenspace Space NOI'!M10+'Parking NOI'!M10+'Market Housing NOI'!M10+'Retail NOI'!M10+'Hotel NOI'!M10</f>
        <v>-24474747</v>
      </c>
      <c r="N20" s="557">
        <f>'Retail NOI'!N10+'Affordable Housing NOI'!N10+'Office NOI'!N10+'Park+Greenspace Space NOI'!N10+'Parking NOI'!N10+'Market Housing NOI'!N10+'Retail NOI'!N10+'Hotel NOI'!N10</f>
        <v>-24474747</v>
      </c>
    </row>
    <row r="21" spans="2:14" customFormat="1" ht="14.1">
      <c r="B21" s="600" t="s">
        <v>47</v>
      </c>
      <c r="C21" s="601"/>
      <c r="D21" s="601"/>
      <c r="E21" s="16">
        <f>'Retail NOI'!E11+'Affordable Housing NOI'!E11+'Office NOI'!E11+'Park+Greenspace Space NOI'!E11+'Parking NOI'!E11+'Market Housing NOI'!E11+'Retail NOI'!E11+'Hotel NOI'!E11</f>
        <v>-2547411.1707200008</v>
      </c>
      <c r="F21" s="16">
        <f>'Retail NOI'!F11+'Affordable Housing NOI'!F11+'Office NOI'!F11+'Park+Greenspace Space NOI'!F11+'Parking NOI'!F11+'Market Housing NOI'!F11+'Retail NOI'!F11+'Hotel NOI'!F11</f>
        <v>-2547411.1707200008</v>
      </c>
      <c r="G21" s="16">
        <f>'Retail NOI'!G11+'Affordable Housing NOI'!G11+'Office NOI'!G11+'Park+Greenspace Space NOI'!G11+'Parking NOI'!G11+'Market Housing NOI'!G11+'Retail NOI'!G11+'Hotel NOI'!G11</f>
        <v>-2547411.1707200008</v>
      </c>
      <c r="H21" s="16">
        <f>'Retail NOI'!H11+'Affordable Housing NOI'!H11+'Office NOI'!H11+'Park+Greenspace Space NOI'!H11+'Parking NOI'!H11+'Market Housing NOI'!H11+'Retail NOI'!H11+'Hotel NOI'!H11</f>
        <v>-2547411.1707200008</v>
      </c>
      <c r="I21" s="16">
        <f>'Retail NOI'!I11+'Affordable Housing NOI'!I11+'Office NOI'!I11+'Park+Greenspace Space NOI'!I11+'Parking NOI'!I11+'Market Housing NOI'!I11+'Retail NOI'!I11+'Hotel NOI'!I11</f>
        <v>-2547411.1707200008</v>
      </c>
      <c r="J21" s="16">
        <f>'Retail NOI'!J11+'Affordable Housing NOI'!J11+'Office NOI'!J11+'Park+Greenspace Space NOI'!J11+'Parking NOI'!J11+'Market Housing NOI'!J11+'Retail NOI'!J11+'Hotel NOI'!J11</f>
        <v>-2547411.1707200008</v>
      </c>
      <c r="K21" s="16">
        <f>'Retail NOI'!K11+'Affordable Housing NOI'!K11+'Office NOI'!K11+'Park+Greenspace Space NOI'!K11+'Parking NOI'!K11+'Market Housing NOI'!K11+'Retail NOI'!K11+'Hotel NOI'!K11</f>
        <v>-2547411.1707200008</v>
      </c>
      <c r="L21" s="16">
        <f>'Retail NOI'!L11+'Affordable Housing NOI'!L11+'Office NOI'!L11+'Park+Greenspace Space NOI'!L11+'Parking NOI'!L11+'Market Housing NOI'!L11+'Retail NOI'!L11+'Hotel NOI'!L11</f>
        <v>-2547411.1707200008</v>
      </c>
      <c r="M21" s="16">
        <f>'Retail NOI'!M11+'Affordable Housing NOI'!M11+'Office NOI'!M11+'Park+Greenspace Space NOI'!M11+'Parking NOI'!M11+'Market Housing NOI'!M11+'Retail NOI'!M11+'Hotel NOI'!M11</f>
        <v>-2547411.1707200008</v>
      </c>
      <c r="N21" s="557">
        <f>'Retail NOI'!N11+'Affordable Housing NOI'!N11+'Office NOI'!N11+'Park+Greenspace Space NOI'!N11+'Parking NOI'!N11+'Market Housing NOI'!N11+'Retail NOI'!N11+'Hotel NOI'!N11</f>
        <v>-2547411.1707200008</v>
      </c>
    </row>
    <row r="22" spans="2:14" customFormat="1" ht="14.1">
      <c r="B22" s="600" t="s">
        <v>48</v>
      </c>
      <c r="C22" s="601"/>
      <c r="D22" s="601"/>
      <c r="E22" s="10">
        <f>'Retail NOI'!E12+'Affordable Housing NOI'!E12+'Office NOI'!E12+'Park+Greenspace Space NOI'!E12+'Parking NOI'!E12+'Market Housing NOI'!E12+'Retail NOI'!E12+'Hotel NOI'!E12</f>
        <v>-281873.30664799997</v>
      </c>
      <c r="F22" s="10">
        <f>'Retail NOI'!F12+'Affordable Housing NOI'!F12+'Office NOI'!F12+'Park+Greenspace Space NOI'!F12+'Parking NOI'!F12+'Market Housing NOI'!F12+'Retail NOI'!F12+'Hotel NOI'!F12</f>
        <v>-563182.70992000005</v>
      </c>
      <c r="G22" s="10">
        <f>'Retail NOI'!G12+'Affordable Housing NOI'!G12+'Office NOI'!G12+'Park+Greenspace Space NOI'!G12+'Parking NOI'!G12+'Market Housing NOI'!G12+'Retail NOI'!G12+'Hotel NOI'!G12</f>
        <v>-821374.68399199995</v>
      </c>
      <c r="H22" s="10">
        <f>'Retail NOI'!H12+'Affordable Housing NOI'!H12+'Office NOI'!H12+'Park+Greenspace Space NOI'!H12+'Parking NOI'!H12+'Market Housing NOI'!H12+'Retail NOI'!H12+'Hotel NOI'!H12</f>
        <v>-1305241.9241519999</v>
      </c>
      <c r="I22" s="10">
        <f>'Retail NOI'!I12+'Affordable Housing NOI'!I12+'Office NOI'!I12+'Park+Greenspace Space NOI'!I12+'Parking NOI'!I12+'Market Housing NOI'!I12+'Retail NOI'!I12+'Hotel NOI'!I12</f>
        <v>-1428918.9319120001</v>
      </c>
      <c r="J22" s="10">
        <f>'Retail NOI'!J12+'Affordable Housing NOI'!J12+'Office NOI'!J12+'Park+Greenspace Space NOI'!J12+'Parking NOI'!J12+'Market Housing NOI'!J12+'Retail NOI'!J12+'Hotel NOI'!J12</f>
        <v>-1583158.147352</v>
      </c>
      <c r="K22" s="10">
        <f>'Retail NOI'!K12+'Affordable Housing NOI'!K12+'Office NOI'!K12+'Park+Greenspace Space NOI'!K12+'Parking NOI'!K12+'Market Housing NOI'!K12+'Retail NOI'!K12+'Hotel NOI'!K12</f>
        <v>-1279524.661752</v>
      </c>
      <c r="L22" s="10">
        <f>'Retail NOI'!L12+'Affordable Housing NOI'!L12+'Office NOI'!L12+'Park+Greenspace Space NOI'!L12+'Parking NOI'!L12+'Market Housing NOI'!L12+'Retail NOI'!L12+'Hotel NOI'!L12</f>
        <v>-1279524.661752</v>
      </c>
      <c r="M22" s="10">
        <f>'Retail NOI'!M12+'Affordable Housing NOI'!M12+'Office NOI'!M12+'Park+Greenspace Space NOI'!M12+'Parking NOI'!M12+'Market Housing NOI'!M12+'Retail NOI'!M12+'Hotel NOI'!M12</f>
        <v>-1609376.1591119999</v>
      </c>
      <c r="N22" s="564">
        <f>'Retail NOI'!N12+'Affordable Housing NOI'!N12+'Office NOI'!N12+'Park+Greenspace Space NOI'!N12+'Parking NOI'!N12+'Market Housing NOI'!N12+'Retail NOI'!N12+'Hotel NOI'!N12</f>
        <v>-1937005.0434880001</v>
      </c>
    </row>
    <row r="23" spans="2:14" customFormat="1" ht="14.1">
      <c r="B23" s="600" t="s">
        <v>49</v>
      </c>
      <c r="C23" s="601"/>
      <c r="D23" s="607">
        <f>E23</f>
        <v>-3529125</v>
      </c>
      <c r="E23" s="10">
        <f>'Retail NOI'!E13+'Affordable Housing NOI'!E13+'Office NOI'!E13+'Park+Greenspace Space NOI'!E13+'Parking NOI'!E13+'Market Housing NOI'!E13+'Retail NOI'!E13+'Hotel NOI'!E13</f>
        <v>-3529125</v>
      </c>
      <c r="F23" s="10">
        <f>'Retail NOI'!F13+'Affordable Housing NOI'!F13+'Office NOI'!F13+'Park+Greenspace Space NOI'!F13+'Parking NOI'!F13+'Market Housing NOI'!F13+'Retail NOI'!F13+'Hotel NOI'!F13</f>
        <v>-3529125</v>
      </c>
      <c r="G23" s="10">
        <f>'Retail NOI'!G13+'Affordable Housing NOI'!G13+'Office NOI'!G13+'Park+Greenspace Space NOI'!G13+'Parking NOI'!G13+'Market Housing NOI'!G13+'Retail NOI'!G13+'Hotel NOI'!G13</f>
        <v>-3529125</v>
      </c>
      <c r="H23" s="10">
        <f>'Retail NOI'!H13+'Affordable Housing NOI'!H13+'Office NOI'!H13+'Park+Greenspace Space NOI'!H13+'Parking NOI'!H13+'Market Housing NOI'!H13+'Retail NOI'!H13+'Hotel NOI'!H13</f>
        <v>-3529125</v>
      </c>
      <c r="I23" s="10">
        <f>'Retail NOI'!I13+'Affordable Housing NOI'!I13+'Office NOI'!I13+'Park+Greenspace Space NOI'!I13+'Parking NOI'!I13+'Market Housing NOI'!I13+'Retail NOI'!I13+'Hotel NOI'!I13</f>
        <v>-3529125</v>
      </c>
      <c r="J23" s="10">
        <f>'Retail NOI'!J13+'Affordable Housing NOI'!J13+'Office NOI'!J13+'Park+Greenspace Space NOI'!J13+'Parking NOI'!J13+'Market Housing NOI'!J13+'Retail NOI'!J13+'Hotel NOI'!J13</f>
        <v>-3529125</v>
      </c>
      <c r="K23" s="10">
        <f>'Retail NOI'!K13+'Affordable Housing NOI'!K13+'Office NOI'!K13+'Park+Greenspace Space NOI'!K13+'Parking NOI'!K13+'Market Housing NOI'!K13+'Retail NOI'!K13+'Hotel NOI'!K13</f>
        <v>-3529125</v>
      </c>
      <c r="L23" s="10">
        <f>'Retail NOI'!L13+'Affordable Housing NOI'!L13+'Office NOI'!L13+'Park+Greenspace Space NOI'!L13+'Parking NOI'!L13+'Market Housing NOI'!L13+'Retail NOI'!L13+'Hotel NOI'!L13</f>
        <v>-3529125</v>
      </c>
      <c r="M23" s="10">
        <f>'Retail NOI'!M13+'Affordable Housing NOI'!M13+'Office NOI'!M13+'Park+Greenspace Space NOI'!M13+'Parking NOI'!M13+'Market Housing NOI'!M13+'Retail NOI'!M13+'Hotel NOI'!M13</f>
        <v>-3529125</v>
      </c>
      <c r="N23" s="564">
        <f>'Retail NOI'!N13+'Affordable Housing NOI'!N13+'Office NOI'!N13+'Park+Greenspace Space NOI'!N13+'Parking NOI'!N13+'Market Housing NOI'!N13+'Retail NOI'!N13+'Hotel NOI'!N13</f>
        <v>-3529125</v>
      </c>
    </row>
    <row r="24" spans="2:14" customFormat="1" ht="14.1">
      <c r="B24" s="600" t="s">
        <v>50</v>
      </c>
      <c r="C24" s="601"/>
      <c r="D24" s="601"/>
      <c r="E24" s="10">
        <f>'Retail NOI'!E14+'Affordable Housing NOI'!E14+'Office NOI'!E14+'Park+Greenspace Space NOI'!E14+'Parking NOI'!E14+'Market Housing NOI'!E14+'Retail NOI'!E14+'Hotel NOI'!E14</f>
        <v>-1168761.8674860001</v>
      </c>
      <c r="F24" s="10">
        <f>'Retail NOI'!F14+'Affordable Housing NOI'!F14+'Office NOI'!F14+'Park+Greenspace Space NOI'!F14+'Parking NOI'!F14+'Market Housing NOI'!F14+'Retail NOI'!F14+'Hotel NOI'!F14</f>
        <v>-1337294.6399400001</v>
      </c>
      <c r="G24" s="10">
        <f>'Retail NOI'!G14+'Affordable Housing NOI'!G14+'Office NOI'!G14+'Park+Greenspace Space NOI'!G14+'Parking NOI'!G14+'Market Housing NOI'!G14+'Retail NOI'!G14+'Hotel NOI'!G14</f>
        <v>-1475086.3004940001</v>
      </c>
      <c r="H24" s="10">
        <f>'Retail NOI'!H14+'Affordable Housing NOI'!H14+'Office NOI'!H14+'Park+Greenspace Space NOI'!H14+'Parking NOI'!H14+'Market Housing NOI'!H14+'Retail NOI'!H14+'Hotel NOI'!H14</f>
        <v>-1797903.1306140001</v>
      </c>
      <c r="I24" s="10">
        <f>'Retail NOI'!I14+'Affordable Housing NOI'!I14+'Office NOI'!I14+'Park+Greenspace Space NOI'!I14+'Parking NOI'!I14+'Market Housing NOI'!I14+'Retail NOI'!I14+'Hotel NOI'!I14</f>
        <v>-1865057.926434</v>
      </c>
      <c r="J24" s="10">
        <f>'Retail NOI'!J14+'Affordable Housing NOI'!J14+'Office NOI'!J14+'Park+Greenspace Space NOI'!J14+'Parking NOI'!J14+'Market Housing NOI'!J14+'Retail NOI'!J14+'Hotel NOI'!J14</f>
        <v>-1957039.498014</v>
      </c>
      <c r="K24" s="10">
        <f>'Retail NOI'!K14+'Affordable Housing NOI'!K14+'Office NOI'!K14+'Park+Greenspace Space NOI'!K14+'Parking NOI'!K14+'Market Housing NOI'!K14+'Retail NOI'!K14+'Hotel NOI'!K14</f>
        <v>-1713072.1438140003</v>
      </c>
      <c r="L24" s="10">
        <f>'Retail NOI'!L14+'Affordable Housing NOI'!L14+'Office NOI'!L14+'Park+Greenspace Space NOI'!L14+'Parking NOI'!L14+'Market Housing NOI'!L14+'Retail NOI'!L14+'Hotel NOI'!L14</f>
        <v>-1713072.1438140003</v>
      </c>
      <c r="M24" s="10">
        <f>'Retail NOI'!M14+'Affordable Housing NOI'!M14+'Office NOI'!M14+'Park+Greenspace Space NOI'!M14+'Parking NOI'!M14+'Market Housing NOI'!M14+'Retail NOI'!M14+'Hotel NOI'!M14</f>
        <v>-1915953.9668340001</v>
      </c>
      <c r="N24" s="564">
        <f>'Retail NOI'!N14+'Affordable Housing NOI'!N14+'Office NOI'!N14+'Park+Greenspace Space NOI'!N14+'Parking NOI'!N14+'Market Housing NOI'!N14+'Retail NOI'!N14+'Hotel NOI'!N14</f>
        <v>-2101215.310116</v>
      </c>
    </row>
    <row r="25" spans="2:14" customFormat="1" ht="14.1">
      <c r="B25" s="608" t="s">
        <v>51</v>
      </c>
      <c r="C25" s="58"/>
      <c r="D25" s="12">
        <f>D22+D24+D21+D23</f>
        <v>-3529125</v>
      </c>
      <c r="E25" s="12">
        <f>E20+E22+E24+E21+E23</f>
        <v>-19379418.344854001</v>
      </c>
      <c r="F25" s="12">
        <f t="shared" ref="F25:N25" si="2">F20+F22+F24+F21+F23</f>
        <v>-32451760.520580001</v>
      </c>
      <c r="G25" s="12">
        <f t="shared" si="2"/>
        <v>-32847744.155205999</v>
      </c>
      <c r="H25" s="12">
        <f t="shared" si="2"/>
        <v>-33654428.225486003</v>
      </c>
      <c r="I25" s="451">
        <f t="shared" si="2"/>
        <v>-33845260.029065996</v>
      </c>
      <c r="J25" s="12">
        <f t="shared" si="2"/>
        <v>-34091480.816085994</v>
      </c>
      <c r="K25" s="455">
        <f t="shared" si="2"/>
        <v>-33543879.976286002</v>
      </c>
      <c r="L25" s="12">
        <f t="shared" si="2"/>
        <v>-33543879.976286002</v>
      </c>
      <c r="M25" s="12">
        <f t="shared" si="2"/>
        <v>-34076613.296665996</v>
      </c>
      <c r="N25" s="565">
        <f t="shared" si="2"/>
        <v>-34589503.524324</v>
      </c>
    </row>
    <row r="26" spans="2:14" customFormat="1" ht="12.95">
      <c r="B26" s="652"/>
      <c r="C26" s="653"/>
      <c r="D26" s="653"/>
      <c r="E26" s="653"/>
      <c r="F26" s="653"/>
      <c r="G26" s="653"/>
      <c r="H26" s="653"/>
      <c r="I26" s="653"/>
      <c r="J26" s="653"/>
      <c r="K26" s="653"/>
      <c r="L26" s="653"/>
      <c r="M26" s="653"/>
      <c r="N26" s="654"/>
    </row>
    <row r="27" spans="2:14" customFormat="1" ht="14.1">
      <c r="B27" s="604" t="s">
        <v>52</v>
      </c>
      <c r="C27" s="56"/>
      <c r="D27" s="10">
        <f>D18+D25</f>
        <v>-3529125</v>
      </c>
      <c r="E27" s="10">
        <f>E18+E25</f>
        <v>5489914.3213459998</v>
      </c>
      <c r="F27" s="10">
        <f>F18+F25</f>
        <v>-549692.7725800015</v>
      </c>
      <c r="G27" s="10">
        <f t="shared" ref="G27:N27" si="3">G18+G25</f>
        <v>5509122.9445939995</v>
      </c>
      <c r="H27" s="10">
        <f t="shared" si="3"/>
        <v>16799119.878313996</v>
      </c>
      <c r="I27" s="10">
        <f t="shared" si="3"/>
        <v>19700213.268734001</v>
      </c>
      <c r="J27" s="10">
        <f t="shared" si="3"/>
        <v>23309972.867714003</v>
      </c>
      <c r="K27" s="10">
        <f t="shared" si="3"/>
        <v>16266736.567513995</v>
      </c>
      <c r="L27" s="10">
        <f t="shared" si="3"/>
        <v>16266736.567513995</v>
      </c>
      <c r="M27" s="10">
        <f t="shared" si="3"/>
        <v>23980290.681134</v>
      </c>
      <c r="N27" s="564">
        <f t="shared" si="3"/>
        <v>31658122.562876001</v>
      </c>
    </row>
    <row r="28" spans="2:14" customFormat="1" ht="12.95">
      <c r="B28" s="470" t="s">
        <v>53</v>
      </c>
      <c r="D28" s="15">
        <f>-D42*0.06</f>
        <v>-12771500.705966199</v>
      </c>
      <c r="E28" s="10">
        <f>'Retail NOI'!E18+'Affordable Housing NOI'!E18+'Office NOI'!E18+'Park+Greenspace Space NOI'!E18+'Parking NOI'!E18+(-$F$57)+'Market Housing NOI'!E18+'Retail NOI'!E18+'Hotel NOI'!E18</f>
        <v>-12004125.52947465</v>
      </c>
      <c r="F28" s="10">
        <f>'Retail NOI'!F18+'Affordable Housing NOI'!F18+'Office NOI'!F18+'Park+Greenspace Space NOI'!F18+'Parking NOI'!F18+(-$F$57)+'Market Housing NOI'!F18+'Retail NOI'!F18+'Hotel NOI'!F18</f>
        <v>-12004125.52947465</v>
      </c>
      <c r="G28" s="10">
        <f>'Retail NOI'!G18+'Affordable Housing NOI'!G18+'Office NOI'!G18+'Park+Greenspace Space NOI'!G18+'Parking NOI'!G18+(-$F$57)+'Market Housing NOI'!G18+'Retail NOI'!G18+'Hotel NOI'!G18</f>
        <v>-12004125.52947465</v>
      </c>
      <c r="H28" s="10">
        <f>'Retail NOI'!H18+'Affordable Housing NOI'!H18+'Office NOI'!H18+'Park+Greenspace Space NOI'!H18+'Parking NOI'!H18+(-$F$57)+'Market Housing NOI'!H18+'Retail NOI'!H18+'Hotel NOI'!H18</f>
        <v>-12004125.52947465</v>
      </c>
      <c r="I28" s="10">
        <f>'Retail NOI'!I18+'Affordable Housing NOI'!I18+'Office NOI'!I18+'Park+Greenspace Space NOI'!I18+'Parking NOI'!I18+(-$F$57)+'Market Housing NOI'!I18+'Retail NOI'!I18+'Hotel NOI'!I18</f>
        <v>-12004125.52947465</v>
      </c>
      <c r="J28" s="10">
        <f>'Retail NOI'!J18+'Affordable Housing NOI'!J18+'Office NOI'!J18+'Park+Greenspace Space NOI'!J18+'Parking NOI'!J18+(-$F$57)+'Market Housing NOI'!J18+'Retail NOI'!J18+'Hotel NOI'!J18</f>
        <v>-12004125.52947465</v>
      </c>
      <c r="K28" s="10">
        <f>'Retail NOI'!K18+'Affordable Housing NOI'!K18+'Office NOI'!K18+'Park+Greenspace Space NOI'!K18+'Parking NOI'!K18+(-$F$57)+'Market Housing NOI'!K18+'Retail NOI'!K18+'Hotel NOI'!K18</f>
        <v>-12004125.52947465</v>
      </c>
      <c r="L28" s="10">
        <f>'Retail NOI'!L18+'Affordable Housing NOI'!L18+'Office NOI'!L18+'Park+Greenspace Space NOI'!L18+'Parking NOI'!L18+(-$F$57)+'Market Housing NOI'!L18+'Retail NOI'!L18+'Hotel NOI'!L18</f>
        <v>-12004125.52947465</v>
      </c>
      <c r="M28" s="10">
        <f>'Retail NOI'!M18+'Affordable Housing NOI'!M18+'Office NOI'!M18+'Park+Greenspace Space NOI'!M18+'Parking NOI'!M18+(-$F$57)+'Market Housing NOI'!M18+'Retail NOI'!M18+'Hotel NOI'!M18</f>
        <v>-12004125.52947465</v>
      </c>
      <c r="N28" s="564">
        <f>'Retail NOI'!N18+'Affordable Housing NOI'!N18+'Office NOI'!N18+'Park+Greenspace Space NOI'!N18+'Parking NOI'!N18+(-$F$57)+'Market Housing NOI'!N18+'Retail NOI'!N18+'Hotel NOI'!N18</f>
        <v>-12004125.52947465</v>
      </c>
    </row>
    <row r="29" spans="2:14" customFormat="1" ht="12.95">
      <c r="B29" s="470" t="s">
        <v>54</v>
      </c>
      <c r="E29" s="7">
        <f>'Retail NOI'!E19+'Affordable Housing NOI'!E19+'Office NOI'!E19+'Park+Greenspace Space NOI'!E19+'Parking NOI'!E19+'Market Housing NOI'!E19+'Retail NOI'!E19+'Hotel NOI'!E19</f>
        <v>-3619615.3846153845</v>
      </c>
      <c r="F29" s="7">
        <f>'Retail NOI'!F19+'Affordable Housing NOI'!F19+'Office NOI'!F19+'Park+Greenspace Space NOI'!F19+'Parking NOI'!F19</f>
        <v>-1645256.4102564103</v>
      </c>
      <c r="G29" s="7">
        <f>'Retail NOI'!G19+'Affordable Housing NOI'!G19+'Office NOI'!G19+'Park+Greenspace Space NOI'!G19+'Parking NOI'!G19</f>
        <v>-1645256.4102564103</v>
      </c>
      <c r="H29" s="7">
        <f>'Retail NOI'!H19+'Affordable Housing NOI'!H19+'Office NOI'!H19+'Park+Greenspace Space NOI'!H19+'Parking NOI'!H19</f>
        <v>-1645256.4102564103</v>
      </c>
      <c r="I29" s="444">
        <f>'Retail NOI'!I19+'Affordable Housing NOI'!I19+'Office NOI'!I19+'Park+Greenspace Space NOI'!I19+'Parking NOI'!I19</f>
        <v>-1645256.4102564103</v>
      </c>
      <c r="J29" s="7">
        <f>'Retail NOI'!J19+'Affordable Housing NOI'!J19+'Office NOI'!J19+'Park+Greenspace Space NOI'!J19+'Parking NOI'!J19</f>
        <v>-1645256.4102564103</v>
      </c>
      <c r="K29" s="456">
        <f>'Retail NOI'!K19+'Affordable Housing NOI'!K19+'Office NOI'!K19+'Park+Greenspace Space NOI'!K19+'Parking NOI'!K19</f>
        <v>-1645256.4102564103</v>
      </c>
      <c r="L29" s="7">
        <f>'Retail NOI'!L19+'Affordable Housing NOI'!L19+'Office NOI'!L19+'Park+Greenspace Space NOI'!L19+'Parking NOI'!L19</f>
        <v>-1645256.4102564103</v>
      </c>
      <c r="M29" s="7">
        <f>'Retail NOI'!M19+'Affordable Housing NOI'!M19+'Office NOI'!M19+'Park+Greenspace Space NOI'!M19+'Parking NOI'!M19</f>
        <v>-1645256.4102564103</v>
      </c>
      <c r="N29" s="581">
        <f>'Retail NOI'!N19+'Affordable Housing NOI'!N19+'Office NOI'!N19+'Park+Greenspace Space NOI'!N19+'Parking NOI'!N19</f>
        <v>-1645256.4102564103</v>
      </c>
    </row>
    <row r="30" spans="2:14" customFormat="1" ht="12.95">
      <c r="B30" s="469" t="s">
        <v>55</v>
      </c>
      <c r="E30" s="7">
        <f>'Retail NOI'!$E$20+'Affordable Housing NOI'!$E$20+'Office NOI'!$E$20+'Parking NOI'!$E$20+'Market Housing NOI'!E20+'Retail NOI'!E20</f>
        <v>-40790500</v>
      </c>
      <c r="F30" s="7">
        <f>'Retail NOI'!$E$20+'Affordable Housing NOI'!$E$20+'Office NOI'!$E$20+'Parking NOI'!$E$20</f>
        <v>-34789000</v>
      </c>
      <c r="G30" s="7">
        <f>'Retail NOI'!$E$20+'Affordable Housing NOI'!$E$20+'Office NOI'!$E$20+'Parking NOI'!$E$20</f>
        <v>-34789000</v>
      </c>
      <c r="H30" s="7">
        <f>'Retail NOI'!$E$20+'Affordable Housing NOI'!$E$20+'Office NOI'!$E$20+'Parking NOI'!$E$20</f>
        <v>-34789000</v>
      </c>
      <c r="I30" s="444">
        <f>'Retail NOI'!$E$20+'Affordable Housing NOI'!$E$20+'Office NOI'!$E$20+'Parking NOI'!$E$20</f>
        <v>-34789000</v>
      </c>
      <c r="J30" s="7">
        <f>'Retail NOI'!$E$20+'Affordable Housing NOI'!$E$20+'Office NOI'!$E$20+'Parking NOI'!$E$20</f>
        <v>-34789000</v>
      </c>
      <c r="K30" s="456">
        <f>'Retail NOI'!$E$20+'Affordable Housing NOI'!$E$20+'Office NOI'!$E$20+'Parking NOI'!$E$20</f>
        <v>-34789000</v>
      </c>
      <c r="L30" s="7">
        <f>'Retail NOI'!$E$20+'Affordable Housing NOI'!$E$20+'Office NOI'!$E$20+'Parking NOI'!$E$20</f>
        <v>-34789000</v>
      </c>
      <c r="M30" s="7">
        <f>'Retail NOI'!$E$20+'Affordable Housing NOI'!$E$20+'Office NOI'!$E$20+'Parking NOI'!$E$20</f>
        <v>-34789000</v>
      </c>
      <c r="N30" s="581">
        <f>'Retail NOI'!$E$20+'Affordable Housing NOI'!$E$20+'Office NOI'!$E$20+'Parking NOI'!$E$20</f>
        <v>-34789000</v>
      </c>
    </row>
    <row r="31" spans="2:14" customFormat="1" ht="12.95">
      <c r="B31" s="470" t="s">
        <v>56</v>
      </c>
      <c r="D31" s="10">
        <f>D27+D28+D29</f>
        <v>-16300625.705966199</v>
      </c>
      <c r="E31" s="10">
        <f>E27+E28+E29+E30</f>
        <v>-50924326.592744038</v>
      </c>
      <c r="F31" s="10">
        <f t="shared" ref="F31:N31" si="4">F27+F28+F29+F30</f>
        <v>-48988074.712311059</v>
      </c>
      <c r="G31" s="10">
        <f t="shared" si="4"/>
        <v>-42929258.995137058</v>
      </c>
      <c r="H31" s="10">
        <f t="shared" si="4"/>
        <v>-31639262.061417066</v>
      </c>
      <c r="I31" s="443">
        <f t="shared" si="4"/>
        <v>-28738168.670997061</v>
      </c>
      <c r="J31" s="10">
        <f t="shared" si="4"/>
        <v>-25128409.072017059</v>
      </c>
      <c r="K31" s="452">
        <f t="shared" si="4"/>
        <v>-32171645.372217067</v>
      </c>
      <c r="L31" s="10">
        <f t="shared" si="4"/>
        <v>-32171645.372217067</v>
      </c>
      <c r="M31" s="10">
        <f t="shared" si="4"/>
        <v>-24458091.258597061</v>
      </c>
      <c r="N31" s="564">
        <f t="shared" si="4"/>
        <v>-16780259.37685506</v>
      </c>
    </row>
    <row r="32" spans="2:14" customFormat="1" ht="12.95">
      <c r="B32" s="469" t="s">
        <v>57</v>
      </c>
      <c r="E32" s="10"/>
      <c r="F32" s="10"/>
      <c r="G32" s="10"/>
      <c r="H32" s="10"/>
      <c r="I32" s="443"/>
      <c r="J32" s="10"/>
      <c r="K32" s="452"/>
      <c r="L32" s="10"/>
      <c r="M32" s="10"/>
      <c r="N32" s="564"/>
    </row>
    <row r="33" spans="2:18" customFormat="1" ht="12.95">
      <c r="B33" s="470" t="s">
        <v>58</v>
      </c>
      <c r="D33" s="10">
        <v>0</v>
      </c>
      <c r="E33" s="10">
        <f>E31*Assumptions!$D$24</f>
        <v>-5219743.4757562634</v>
      </c>
      <c r="F33" s="10">
        <f>F31*Assumptions!$D$24</f>
        <v>-5021277.6580118835</v>
      </c>
      <c r="G33" s="10">
        <f>G31*Assumptions!$D$24</f>
        <v>-4400249.0470015481</v>
      </c>
      <c r="H33" s="10">
        <f>H31*Assumptions!$D$24</f>
        <v>-3243024.3612952488</v>
      </c>
      <c r="I33" s="443">
        <f>I31*Assumptions!$D$24</f>
        <v>-2945662.2887771986</v>
      </c>
      <c r="J33" s="10">
        <f>J31*Assumptions!$D$24</f>
        <v>-2575661.9298817483</v>
      </c>
      <c r="K33" s="452">
        <f>K31*Assumptions!$D$24</f>
        <v>-3297593.6506522493</v>
      </c>
      <c r="L33" s="10">
        <f>L31*Assumptions!$D$24</f>
        <v>-3297593.6506522493</v>
      </c>
      <c r="M33" s="10">
        <f>M31*Assumptions!$D$24</f>
        <v>-2506954.3540061987</v>
      </c>
      <c r="N33" s="564">
        <f>N31*Assumptions!$D$24</f>
        <v>-1719976.5861276437</v>
      </c>
    </row>
    <row r="34" spans="2:18" customFormat="1" ht="12.95">
      <c r="B34" s="470" t="s">
        <v>59</v>
      </c>
      <c r="D34" s="10">
        <f>D27+D33</f>
        <v>-3529125</v>
      </c>
      <c r="E34" s="10">
        <f>E27-E33</f>
        <v>10709657.797102263</v>
      </c>
      <c r="F34" s="10">
        <f t="shared" ref="F34:N34" si="5">F27-F33</f>
        <v>4471584.885431882</v>
      </c>
      <c r="G34" s="10">
        <f t="shared" si="5"/>
        <v>9909371.9915955476</v>
      </c>
      <c r="H34" s="10">
        <f t="shared" si="5"/>
        <v>20042144.239609245</v>
      </c>
      <c r="I34" s="443">
        <f t="shared" si="5"/>
        <v>22645875.557511199</v>
      </c>
      <c r="J34" s="10">
        <f t="shared" si="5"/>
        <v>25885634.797595751</v>
      </c>
      <c r="K34" s="452">
        <f t="shared" si="5"/>
        <v>19564330.218166243</v>
      </c>
      <c r="L34" s="10">
        <f t="shared" si="5"/>
        <v>19564330.218166243</v>
      </c>
      <c r="M34" s="10">
        <f t="shared" si="5"/>
        <v>26487245.035140198</v>
      </c>
      <c r="N34" s="564">
        <f t="shared" si="5"/>
        <v>33378099.149003644</v>
      </c>
      <c r="O34" t="s">
        <v>60</v>
      </c>
    </row>
    <row r="35" spans="2:18" customFormat="1" ht="12.95">
      <c r="B35" s="470" t="s">
        <v>61</v>
      </c>
      <c r="D35" s="15">
        <f>D28</f>
        <v>-12771500.705966199</v>
      </c>
      <c r="E35" s="10">
        <f>-E28</f>
        <v>12004125.52947465</v>
      </c>
      <c r="F35" s="10">
        <f t="shared" ref="F35:N35" si="6">-F28</f>
        <v>12004125.52947465</v>
      </c>
      <c r="G35" s="10">
        <f t="shared" si="6"/>
        <v>12004125.52947465</v>
      </c>
      <c r="H35" s="10">
        <f t="shared" si="6"/>
        <v>12004125.52947465</v>
      </c>
      <c r="I35" s="443">
        <f t="shared" si="6"/>
        <v>12004125.52947465</v>
      </c>
      <c r="J35" s="10">
        <f t="shared" si="6"/>
        <v>12004125.52947465</v>
      </c>
      <c r="K35" s="452">
        <f t="shared" si="6"/>
        <v>12004125.52947465</v>
      </c>
      <c r="L35" s="10">
        <f t="shared" si="6"/>
        <v>12004125.52947465</v>
      </c>
      <c r="M35" s="10">
        <f t="shared" si="6"/>
        <v>12004125.52947465</v>
      </c>
      <c r="N35" s="564">
        <f t="shared" si="6"/>
        <v>12004125.52947465</v>
      </c>
      <c r="O35" s="8">
        <v>0</v>
      </c>
    </row>
    <row r="36" spans="2:18" customFormat="1" ht="12.95">
      <c r="B36" s="470" t="s">
        <v>62</v>
      </c>
      <c r="E36" s="446">
        <f>E34/E35</f>
        <v>0.8921647620900014</v>
      </c>
      <c r="F36" s="446">
        <f t="shared" ref="F36:N36" si="7">F34/F35</f>
        <v>0.37250400909691062</v>
      </c>
      <c r="G36" s="446">
        <f t="shared" si="7"/>
        <v>0.8254971982144228</v>
      </c>
      <c r="H36" s="446">
        <f t="shared" si="7"/>
        <v>1.6696046863553895</v>
      </c>
      <c r="I36" s="445">
        <f t="shared" si="7"/>
        <v>1.8865077261902206</v>
      </c>
      <c r="J36" s="446">
        <f t="shared" si="7"/>
        <v>2.156394877247557</v>
      </c>
      <c r="K36" s="457">
        <f t="shared" si="7"/>
        <v>1.6298005356682119</v>
      </c>
      <c r="L36" s="446">
        <f t="shared" si="7"/>
        <v>1.6298005356682119</v>
      </c>
      <c r="M36" s="446">
        <f t="shared" si="7"/>
        <v>2.2065118337944765</v>
      </c>
      <c r="N36" s="566">
        <f t="shared" si="7"/>
        <v>2.7805523248692992</v>
      </c>
    </row>
    <row r="37" spans="2:18" customFormat="1" ht="14.1" thickBot="1">
      <c r="B37" s="567" t="s">
        <v>63</v>
      </c>
      <c r="C37" s="20"/>
      <c r="D37" s="21">
        <v>0</v>
      </c>
      <c r="E37" s="21">
        <f>((E36-1))*E35</f>
        <v>-1294467.7323723868</v>
      </c>
      <c r="F37" s="21">
        <f t="shared" ref="F37:N37" si="8">((F36-1))*F35</f>
        <v>-7532540.6440427676</v>
      </c>
      <c r="G37" s="21">
        <f t="shared" si="8"/>
        <v>-2094753.5378791017</v>
      </c>
      <c r="H37" s="21">
        <f t="shared" si="8"/>
        <v>8038018.7101345966</v>
      </c>
      <c r="I37" s="447">
        <f t="shared" si="8"/>
        <v>10641750.02803655</v>
      </c>
      <c r="J37" s="21">
        <f t="shared" si="8"/>
        <v>13881509.268121103</v>
      </c>
      <c r="K37" s="458">
        <f t="shared" si="8"/>
        <v>7560204.6886915928</v>
      </c>
      <c r="L37" s="21">
        <f t="shared" si="8"/>
        <v>7560204.6886915928</v>
      </c>
      <c r="M37" s="21">
        <f t="shared" si="8"/>
        <v>14483119.50566555</v>
      </c>
      <c r="N37" s="568">
        <f t="shared" si="8"/>
        <v>21373973.619528994</v>
      </c>
      <c r="O37" t="s">
        <v>64</v>
      </c>
    </row>
    <row r="38" spans="2:18">
      <c r="B38" s="41" t="s">
        <v>65</v>
      </c>
      <c r="D38" s="61">
        <f>D37</f>
        <v>0</v>
      </c>
      <c r="E38" s="61">
        <f>E34-E35-E37</f>
        <v>0</v>
      </c>
      <c r="F38" s="61">
        <f>F34-F35-F37</f>
        <v>0</v>
      </c>
      <c r="G38" s="61">
        <f>G34-G35-G37</f>
        <v>0</v>
      </c>
      <c r="H38" s="61">
        <f t="shared" ref="F38:N38" si="9">H34-H35-H37</f>
        <v>0</v>
      </c>
      <c r="I38" s="448">
        <f t="shared" si="9"/>
        <v>0</v>
      </c>
      <c r="J38" s="61">
        <f t="shared" si="9"/>
        <v>0</v>
      </c>
      <c r="K38" s="459">
        <f t="shared" si="9"/>
        <v>0</v>
      </c>
      <c r="L38" s="61">
        <f t="shared" si="9"/>
        <v>0</v>
      </c>
      <c r="M38" s="61">
        <f t="shared" si="9"/>
        <v>0</v>
      </c>
      <c r="N38" s="62">
        <f t="shared" si="9"/>
        <v>0</v>
      </c>
      <c r="O38" s="61">
        <f>SUM(D38:N38)</f>
        <v>0</v>
      </c>
      <c r="P38" s="84" t="s">
        <v>65</v>
      </c>
    </row>
    <row r="39" spans="2:18">
      <c r="B39" s="41" t="s">
        <v>66</v>
      </c>
      <c r="E39" s="61">
        <f>-E22</f>
        <v>281873.30664799997</v>
      </c>
      <c r="F39" s="61">
        <f t="shared" ref="F39:N39" si="10">-F22</f>
        <v>563182.70992000005</v>
      </c>
      <c r="G39" s="61">
        <f t="shared" si="10"/>
        <v>821374.68399199995</v>
      </c>
      <c r="H39" s="61">
        <f t="shared" si="10"/>
        <v>1305241.9241519999</v>
      </c>
      <c r="I39" s="448">
        <f t="shared" si="10"/>
        <v>1428918.9319120001</v>
      </c>
      <c r="J39" s="61">
        <f t="shared" si="10"/>
        <v>1583158.147352</v>
      </c>
      <c r="K39" s="459">
        <f t="shared" si="10"/>
        <v>1279524.661752</v>
      </c>
      <c r="L39" s="61">
        <f t="shared" si="10"/>
        <v>1279524.661752</v>
      </c>
      <c r="M39" s="61">
        <f t="shared" si="10"/>
        <v>1609376.1591119999</v>
      </c>
      <c r="N39" s="62">
        <f t="shared" si="10"/>
        <v>1937005.0434880001</v>
      </c>
      <c r="O39" s="61">
        <f>SUM(D39:N39)</f>
        <v>12089180.230080001</v>
      </c>
      <c r="P39" s="84" t="s">
        <v>67</v>
      </c>
    </row>
    <row r="40" spans="2:18">
      <c r="B40" s="41" t="s">
        <v>68</v>
      </c>
      <c r="D40" s="61">
        <f>-C7</f>
        <v>-344810154.48000002</v>
      </c>
      <c r="E40" s="61">
        <v>10813867.140000001</v>
      </c>
      <c r="F40" s="61">
        <v>11468599.08</v>
      </c>
      <c r="G40" s="61">
        <v>12046046.879999999</v>
      </c>
      <c r="H40" s="61">
        <v>2306321.3199999998</v>
      </c>
      <c r="I40" s="61">
        <v>3873515.62</v>
      </c>
      <c r="J40" s="61">
        <v>8212116.6799999997</v>
      </c>
      <c r="K40" s="61">
        <v>4211002</v>
      </c>
      <c r="L40" s="61">
        <v>0</v>
      </c>
      <c r="M40" s="61">
        <v>7352992.2199999997</v>
      </c>
      <c r="N40" s="62">
        <v>16395204.640000001</v>
      </c>
      <c r="O40" s="61"/>
      <c r="P40" s="84"/>
    </row>
    <row r="41" spans="2:18">
      <c r="B41" s="80" t="s">
        <v>69</v>
      </c>
      <c r="D41" s="61">
        <f>MIN(TIF!F3,Cost!E7)</f>
        <v>7577212</v>
      </c>
      <c r="N41" s="42"/>
      <c r="O41" s="61"/>
      <c r="P41" s="84"/>
    </row>
    <row r="42" spans="2:18">
      <c r="B42" s="41" t="s">
        <v>70</v>
      </c>
      <c r="D42" s="61">
        <f>Cost!I4</f>
        <v>212858345.09943664</v>
      </c>
      <c r="E42" s="61">
        <f>D42-E40</f>
        <v>202044477.95943666</v>
      </c>
      <c r="F42" s="61">
        <f t="shared" ref="F42:N42" si="11">E42-F40</f>
        <v>190575878.87943664</v>
      </c>
      <c r="G42" s="61">
        <f t="shared" si="11"/>
        <v>178529831.99943665</v>
      </c>
      <c r="H42" s="61">
        <f t="shared" si="11"/>
        <v>176223510.67943665</v>
      </c>
      <c r="I42" s="61">
        <f t="shared" si="11"/>
        <v>172349995.05943665</v>
      </c>
      <c r="J42" s="61">
        <f t="shared" si="11"/>
        <v>164137878.37943664</v>
      </c>
      <c r="K42" s="61">
        <f t="shared" si="11"/>
        <v>159926876.37943664</v>
      </c>
      <c r="L42" s="61">
        <f t="shared" si="11"/>
        <v>159926876.37943664</v>
      </c>
      <c r="M42" s="61">
        <f t="shared" si="11"/>
        <v>152573884.15943664</v>
      </c>
      <c r="N42" s="62">
        <f t="shared" si="11"/>
        <v>136178679.51943666</v>
      </c>
      <c r="O42" s="61">
        <f>D42-O35</f>
        <v>212858345.09943664</v>
      </c>
      <c r="P42" s="84" t="s">
        <v>71</v>
      </c>
    </row>
    <row r="43" spans="2:18">
      <c r="B43" s="80" t="s">
        <v>72</v>
      </c>
      <c r="D43" s="61"/>
      <c r="E43" s="61">
        <f>G9</f>
        <v>463174239.16930735</v>
      </c>
      <c r="N43" s="42"/>
      <c r="O43" s="61">
        <f>G9</f>
        <v>463174239.16930735</v>
      </c>
      <c r="P43" s="84"/>
    </row>
    <row r="44" spans="2:18" ht="15.95" thickBot="1">
      <c r="B44" s="609" t="s">
        <v>73</v>
      </c>
      <c r="C44" s="66"/>
      <c r="D44" s="67">
        <f>D37+D40+D41+D42+D43</f>
        <v>-124374597.38056338</v>
      </c>
      <c r="E44" s="67">
        <f t="shared" ref="E44:M44" si="12">E37+E40+E42+E43</f>
        <v>674738116.53637159</v>
      </c>
      <c r="F44" s="67">
        <f t="shared" si="12"/>
        <v>194511937.31539387</v>
      </c>
      <c r="G44" s="67">
        <f t="shared" si="12"/>
        <v>188481125.34155753</v>
      </c>
      <c r="H44" s="67">
        <f t="shared" si="12"/>
        <v>186567850.70957124</v>
      </c>
      <c r="I44" s="67">
        <f t="shared" si="12"/>
        <v>186865260.70747319</v>
      </c>
      <c r="J44" s="67">
        <f t="shared" si="12"/>
        <v>186231504.32755774</v>
      </c>
      <c r="K44" s="67">
        <f t="shared" si="12"/>
        <v>171698083.06812823</v>
      </c>
      <c r="L44" s="67">
        <f t="shared" si="12"/>
        <v>167487081.06812823</v>
      </c>
      <c r="M44" s="67">
        <f t="shared" si="12"/>
        <v>174409995.88510218</v>
      </c>
      <c r="N44" s="610">
        <f>N37+N40+N42+N43+O44</f>
        <v>424263751.84883636</v>
      </c>
      <c r="O44" s="68">
        <f>O43-O42+O38</f>
        <v>250315894.06987071</v>
      </c>
      <c r="P44" s="84" t="s">
        <v>74</v>
      </c>
    </row>
    <row r="45" spans="2:18" ht="15.95" thickBot="1">
      <c r="O45" s="621"/>
    </row>
    <row r="46" spans="2:18">
      <c r="B46" s="63" t="s">
        <v>75</v>
      </c>
      <c r="C46" s="593">
        <f>NPV(J7,E44:N44)+D44</f>
        <v>1697388307.3799419</v>
      </c>
      <c r="D46" s="428"/>
      <c r="O46" s="621"/>
    </row>
    <row r="47" spans="2:18" ht="15.95" thickBot="1">
      <c r="B47" s="97" t="s">
        <v>76</v>
      </c>
      <c r="C47" s="537">
        <f>IRR(D44:N44)</f>
        <v>4.7522634134585999</v>
      </c>
      <c r="O47" s="621"/>
    </row>
    <row r="48" spans="2:18" ht="21.95" thickBot="1">
      <c r="B48" s="64" t="s">
        <v>77</v>
      </c>
      <c r="C48" s="622">
        <f>C46/D44</f>
        <v>-13.647387353433967</v>
      </c>
      <c r="G48" s="649" t="s">
        <v>78</v>
      </c>
      <c r="H48" s="650"/>
      <c r="I48" s="650"/>
      <c r="J48" s="650"/>
      <c r="K48" s="650"/>
      <c r="L48" s="650"/>
      <c r="M48" s="650"/>
      <c r="N48" s="650"/>
      <c r="O48" s="650"/>
      <c r="P48" s="650"/>
      <c r="Q48" s="650"/>
      <c r="R48" s="651"/>
    </row>
    <row r="49" spans="2:18" ht="15.95" thickBot="1">
      <c r="G49" s="80" t="s">
        <v>79</v>
      </c>
      <c r="H49" s="464">
        <f>Cost!J20+Cost!J21+Cost!J19</f>
        <v>6.4321816259002407E-2</v>
      </c>
      <c r="R49" s="42"/>
    </row>
    <row r="50" spans="2:18">
      <c r="B50" s="63" t="s">
        <v>80</v>
      </c>
      <c r="C50" s="593">
        <f>NPV(J6,E44-E28,F44-F28,G44-G28,H44-H28,I44-I28,J44-J28,K44-K28,L44-L28,M44-M28,N44-N28)+(D40+D41)</f>
        <v>1134588215.0444393</v>
      </c>
      <c r="G50" s="80" t="s">
        <v>81</v>
      </c>
      <c r="H50" s="23">
        <v>0</v>
      </c>
      <c r="I50" s="23">
        <v>2024</v>
      </c>
      <c r="J50" s="23">
        <v>2025</v>
      </c>
      <c r="K50" s="23">
        <v>2026</v>
      </c>
      <c r="L50" s="23">
        <v>2027</v>
      </c>
      <c r="M50" s="23">
        <v>2028</v>
      </c>
      <c r="N50" s="23">
        <v>2029</v>
      </c>
      <c r="O50" s="23">
        <v>2030</v>
      </c>
      <c r="P50" s="23">
        <v>2031</v>
      </c>
      <c r="Q50" s="23">
        <v>2032</v>
      </c>
      <c r="R50" s="42">
        <v>2033</v>
      </c>
    </row>
    <row r="51" spans="2:18">
      <c r="B51" s="97" t="s">
        <v>82</v>
      </c>
      <c r="C51" s="537">
        <f>IRR(H71:R71)</f>
        <v>1.4521966361637317</v>
      </c>
      <c r="G51" s="41"/>
      <c r="H51" s="623">
        <f>-(Cost!I19+Cost!I20)</f>
        <v>-6000000</v>
      </c>
      <c r="I51" s="623">
        <f>E44*$H$49</f>
        <v>43400381.154797845</v>
      </c>
      <c r="J51" s="623">
        <f>F44*$H$49</f>
        <v>12511361.092183359</v>
      </c>
      <c r="K51" s="623">
        <f>G44*$H$49</f>
        <v>12123448.312509665</v>
      </c>
      <c r="L51" s="623">
        <f>H44*$H$49</f>
        <v>12000383.013178034</v>
      </c>
      <c r="M51" s="623">
        <f>I44*$H$49</f>
        <v>12019512.964416673</v>
      </c>
      <c r="N51" s="623">
        <f>J44*$H$49</f>
        <v>11978748.602994781</v>
      </c>
      <c r="O51" s="623">
        <f>K44*$H$49</f>
        <v>11043932.551131075</v>
      </c>
      <c r="P51" s="623">
        <f>L44*$H$49</f>
        <v>10773073.254220784</v>
      </c>
      <c r="Q51" s="623">
        <f>M44*$H$49</f>
        <v>11218367.709054908</v>
      </c>
      <c r="R51" s="624">
        <f>N44*$H$49</f>
        <v>27289415.091775846</v>
      </c>
    </row>
    <row r="52" spans="2:18" ht="15.95" thickBot="1">
      <c r="B52" s="64" t="s">
        <v>83</v>
      </c>
      <c r="C52" s="538">
        <f>C50/(-D44)</f>
        <v>9.1223468372147423</v>
      </c>
      <c r="G52" s="80" t="s">
        <v>84</v>
      </c>
      <c r="H52" s="625">
        <v>0.35</v>
      </c>
      <c r="I52" s="61">
        <f>I51*$H$52</f>
        <v>15190133.404179245</v>
      </c>
      <c r="J52" s="61">
        <f>J51*$H$52</f>
        <v>4378976.3822641755</v>
      </c>
      <c r="K52" s="61">
        <f>K51*$H$52</f>
        <v>4243206.9093783824</v>
      </c>
      <c r="L52" s="61">
        <f>L51*$H$52</f>
        <v>4200134.0546123115</v>
      </c>
      <c r="M52" s="61">
        <f>M51*$H$52</f>
        <v>4206829.5375458356</v>
      </c>
      <c r="N52" s="61">
        <f>N51*$H$52</f>
        <v>4192562.0110481731</v>
      </c>
      <c r="O52" s="61">
        <f>O51*$H$52</f>
        <v>3865376.392895876</v>
      </c>
      <c r="P52" s="61">
        <f>P51*$H$52</f>
        <v>3770575.6389772738</v>
      </c>
      <c r="Q52" s="61">
        <f>Q51*$H$52</f>
        <v>3926428.6981692174</v>
      </c>
      <c r="R52" s="62">
        <f>(R51+H51)*$H$52</f>
        <v>7451295.2821215456</v>
      </c>
    </row>
    <row r="53" spans="2:18">
      <c r="B53" s="84"/>
      <c r="E53" s="84"/>
      <c r="F53" s="61"/>
      <c r="G53" s="93" t="s">
        <v>85</v>
      </c>
      <c r="H53" s="91">
        <f>H51</f>
        <v>-6000000</v>
      </c>
      <c r="I53" s="91">
        <f>I51-I52</f>
        <v>28210247.750618599</v>
      </c>
      <c r="J53" s="91">
        <f t="shared" ref="J53:R53" si="13">J51-J52</f>
        <v>8132384.7099191835</v>
      </c>
      <c r="K53" s="91">
        <f t="shared" si="13"/>
        <v>7880241.4031312829</v>
      </c>
      <c r="L53" s="91">
        <f t="shared" si="13"/>
        <v>7800248.9585657222</v>
      </c>
      <c r="M53" s="91">
        <f t="shared" si="13"/>
        <v>7812683.4268708378</v>
      </c>
      <c r="N53" s="91">
        <f t="shared" si="13"/>
        <v>7786186.5919466075</v>
      </c>
      <c r="O53" s="91">
        <f t="shared" si="13"/>
        <v>7178556.1582351997</v>
      </c>
      <c r="P53" s="91">
        <f t="shared" si="13"/>
        <v>7002497.6152435094</v>
      </c>
      <c r="Q53" s="91">
        <f t="shared" si="13"/>
        <v>7291939.0108856903</v>
      </c>
      <c r="R53" s="92">
        <f t="shared" si="13"/>
        <v>19838119.809654299</v>
      </c>
    </row>
    <row r="54" spans="2:18">
      <c r="C54" s="38"/>
      <c r="E54" s="626" t="s">
        <v>86</v>
      </c>
      <c r="F54" s="61">
        <f>D42</f>
        <v>212858345.09943664</v>
      </c>
      <c r="G54" s="85" t="s">
        <v>87</v>
      </c>
      <c r="H54" s="69"/>
      <c r="I54" s="627">
        <f>I53/-$H$53</f>
        <v>4.7017079584364332</v>
      </c>
      <c r="J54" s="627">
        <f>J53/-$H$53</f>
        <v>1.3553974516531972</v>
      </c>
      <c r="K54" s="627">
        <f>K53/-$H$53</f>
        <v>1.3133735671885471</v>
      </c>
      <c r="L54" s="627">
        <f>L53/-$H$53</f>
        <v>1.300041493094287</v>
      </c>
      <c r="M54" s="627">
        <f>M53/-$H$53</f>
        <v>1.3021139044784729</v>
      </c>
      <c r="N54" s="627">
        <f>N53/-$H$53</f>
        <v>1.2976977653244346</v>
      </c>
      <c r="O54" s="627">
        <f>O53/-$H$53</f>
        <v>1.1964260263725333</v>
      </c>
      <c r="P54" s="627">
        <f>P53/-$H$53</f>
        <v>1.1670829358739183</v>
      </c>
      <c r="Q54" s="627">
        <f>Q53/-$H$53</f>
        <v>1.2153231684809485</v>
      </c>
      <c r="R54" s="42"/>
    </row>
    <row r="55" spans="2:18" ht="15.95" thickBot="1">
      <c r="C55" s="37"/>
      <c r="D55" s="53"/>
      <c r="E55" s="84" t="s">
        <v>88</v>
      </c>
      <c r="F55" s="61">
        <f>SUM('Retail NOI'!F31+'Affordable Housing NOI'!F33+'Office NOI'!F31+'Park+Greenspace Space NOI'!F31+'Parking NOI'!F35)</f>
        <v>6393695.6620523334</v>
      </c>
      <c r="G55" s="85"/>
      <c r="H55" s="94" t="s">
        <v>89</v>
      </c>
      <c r="I55" s="94" t="s">
        <v>90</v>
      </c>
      <c r="J55" s="627"/>
      <c r="K55" s="627"/>
      <c r="L55" s="627"/>
      <c r="M55" s="627"/>
      <c r="N55" s="627"/>
      <c r="O55" s="627"/>
      <c r="P55" s="627"/>
      <c r="Q55" s="627"/>
      <c r="R55" s="62">
        <f>SUM(I51:R51)</f>
        <v>164358623.74626297</v>
      </c>
    </row>
    <row r="56" spans="2:18">
      <c r="C56" s="37"/>
      <c r="E56" s="84" t="s">
        <v>91</v>
      </c>
      <c r="F56" s="61">
        <f>F54-F55</f>
        <v>206464649.43738431</v>
      </c>
      <c r="G56" s="88" t="s">
        <v>92</v>
      </c>
      <c r="H56" s="89">
        <f>NPV(J7,I53,J53,K53,L53,M53,N53,O53,P53,Q53,R53)+H53</f>
        <v>71171212.680191502</v>
      </c>
      <c r="I56" s="89">
        <f>NPV(J7,I51,J51,K51,L51,M51,N51,O51,P51,Q51,R51)+H51</f>
        <v>111179098.82747172</v>
      </c>
      <c r="R56" s="62">
        <f>SUM(I53:R53)</f>
        <v>108933105.43507092</v>
      </c>
    </row>
    <row r="57" spans="2:18" ht="15.95" thickBot="1">
      <c r="C57" s="37"/>
      <c r="E57" s="84" t="s">
        <v>93</v>
      </c>
      <c r="F57" s="61">
        <f>F56*Assumptions!D17</f>
        <v>9290909.2246822938</v>
      </c>
      <c r="G57" s="90" t="s">
        <v>76</v>
      </c>
      <c r="H57" s="465">
        <f>IRR(H53:R53)</f>
        <v>4.0353829235358507</v>
      </c>
      <c r="I57" s="465">
        <f>IRR(H51:R51)</f>
        <v>6.5503717337086274</v>
      </c>
      <c r="J57" s="86"/>
      <c r="K57" s="86"/>
      <c r="L57" s="86"/>
      <c r="M57" s="86"/>
      <c r="N57" s="86"/>
      <c r="O57" s="86"/>
      <c r="P57" s="86"/>
      <c r="Q57" s="86"/>
      <c r="R57" s="87"/>
    </row>
    <row r="58" spans="2:18">
      <c r="C58" s="37"/>
      <c r="D58" s="38"/>
      <c r="E58" s="38"/>
      <c r="F58" s="38"/>
      <c r="G58" s="37"/>
      <c r="H58" s="37"/>
    </row>
    <row r="59" spans="2:18" ht="15.95" thickBot="1">
      <c r="C59" s="37"/>
      <c r="D59" s="39"/>
      <c r="E59" s="40"/>
      <c r="F59" s="37"/>
      <c r="G59" s="37"/>
      <c r="H59" s="37"/>
      <c r="M59" s="628"/>
    </row>
    <row r="60" spans="2:18" ht="21">
      <c r="C60" s="39"/>
      <c r="D60" s="39"/>
      <c r="E60" s="40"/>
      <c r="F60" s="37"/>
      <c r="G60" s="649" t="s">
        <v>94</v>
      </c>
      <c r="H60" s="650"/>
      <c r="I60" s="650"/>
      <c r="J60" s="650"/>
      <c r="K60" s="650"/>
      <c r="L60" s="650"/>
      <c r="M60" s="650"/>
      <c r="N60" s="650"/>
      <c r="O60" s="650"/>
      <c r="P60" s="650"/>
      <c r="Q60" s="650"/>
      <c r="R60" s="651"/>
    </row>
    <row r="61" spans="2:18">
      <c r="B61" s="44"/>
      <c r="D61" s="39"/>
      <c r="E61" s="40"/>
      <c r="F61" s="37"/>
      <c r="G61" s="80" t="s">
        <v>79</v>
      </c>
      <c r="H61" s="464">
        <f>Cost!J22</f>
        <v>0.93567818374099754</v>
      </c>
      <c r="R61" s="42"/>
    </row>
    <row r="62" spans="2:18">
      <c r="D62" s="39"/>
      <c r="E62" s="40"/>
      <c r="F62" s="37"/>
      <c r="G62" s="80" t="s">
        <v>81</v>
      </c>
      <c r="I62" s="23">
        <v>2024</v>
      </c>
      <c r="J62" s="23">
        <v>2025</v>
      </c>
      <c r="K62" s="23">
        <v>2026</v>
      </c>
      <c r="L62" s="23">
        <v>2027</v>
      </c>
      <c r="M62" s="23">
        <v>2028</v>
      </c>
      <c r="N62" s="23">
        <v>2029</v>
      </c>
      <c r="O62" s="23">
        <v>2030</v>
      </c>
      <c r="P62" s="23">
        <v>2031</v>
      </c>
      <c r="Q62" s="23">
        <v>2032</v>
      </c>
      <c r="R62" s="23">
        <v>2033</v>
      </c>
    </row>
    <row r="63" spans="2:18">
      <c r="D63" s="39"/>
      <c r="E63" s="40"/>
      <c r="F63" s="37"/>
      <c r="G63" s="41"/>
      <c r="H63" s="623">
        <f>-(Cost!I22)</f>
        <v>-116374597.38056338</v>
      </c>
      <c r="I63" s="623">
        <f>E44*$H$61</f>
        <v>631337735.38157368</v>
      </c>
      <c r="J63" s="623">
        <f>F44*$H$61</f>
        <v>182000576.22321048</v>
      </c>
      <c r="K63" s="623">
        <f>G44*$H$61</f>
        <v>176357677.02904785</v>
      </c>
      <c r="L63" s="623">
        <f>H44*$H$61</f>
        <v>174567467.69639319</v>
      </c>
      <c r="M63" s="623">
        <f>I44*$H$61</f>
        <v>174845747.74305651</v>
      </c>
      <c r="N63" s="623">
        <f>J44*$H$61</f>
        <v>174252755.72456294</v>
      </c>
      <c r="O63" s="623">
        <f>K44*$H$61</f>
        <v>160654150.51699713</v>
      </c>
      <c r="P63" s="623">
        <f>L44*$H$61</f>
        <v>156714007.81390744</v>
      </c>
      <c r="Q63" s="623">
        <f>M44*$H$61</f>
        <v>163191628.17604727</v>
      </c>
      <c r="R63" s="624">
        <f>N44*$H$61</f>
        <v>396974336.75706047</v>
      </c>
    </row>
    <row r="64" spans="2:18">
      <c r="D64" s="39"/>
      <c r="E64" s="40"/>
      <c r="F64" s="39"/>
      <c r="G64" s="80" t="s">
        <v>84</v>
      </c>
      <c r="H64" s="625">
        <v>0.35</v>
      </c>
      <c r="I64" s="61">
        <f>I63*$H$64</f>
        <v>220968207.38355076</v>
      </c>
      <c r="J64" s="61">
        <f>J63*$H$64</f>
        <v>63700201.678123668</v>
      </c>
      <c r="K64" s="61">
        <f>K63*$H$64</f>
        <v>61725186.960166745</v>
      </c>
      <c r="L64" s="61">
        <f>L63*$H$64</f>
        <v>61098613.693737611</v>
      </c>
      <c r="M64" s="61">
        <f>M63*$H$64</f>
        <v>61196011.710069776</v>
      </c>
      <c r="N64" s="61">
        <f>N63*$H$64</f>
        <v>60988464.503597029</v>
      </c>
      <c r="O64" s="61">
        <f>O63*$H$64</f>
        <v>56228952.680948995</v>
      </c>
      <c r="P64" s="61">
        <f>P63*$H$64</f>
        <v>54849902.734867603</v>
      </c>
      <c r="Q64" s="61">
        <f>Q63*$H$64</f>
        <v>57117069.861616537</v>
      </c>
      <c r="R64" s="62">
        <f>R63*$H$64</f>
        <v>138941017.86497116</v>
      </c>
    </row>
    <row r="65" spans="7:18">
      <c r="G65" s="93" t="s">
        <v>85</v>
      </c>
      <c r="H65" s="91">
        <f>H63</f>
        <v>-116374597.38056338</v>
      </c>
      <c r="I65" s="91">
        <f>I63-I64</f>
        <v>410369527.99802291</v>
      </c>
      <c r="J65" s="91">
        <f t="shared" ref="J65" si="14">J63-J64</f>
        <v>118300374.54508682</v>
      </c>
      <c r="K65" s="91">
        <f t="shared" ref="K65" si="15">K63-K64</f>
        <v>114632490.06888109</v>
      </c>
      <c r="L65" s="91">
        <f t="shared" ref="L65" si="16">L63-L64</f>
        <v>113468854.00265558</v>
      </c>
      <c r="M65" s="91">
        <f t="shared" ref="M65" si="17">M63-M64</f>
        <v>113649736.03298673</v>
      </c>
      <c r="N65" s="91">
        <f t="shared" ref="N65" si="18">N63-N64</f>
        <v>113264291.22096592</v>
      </c>
      <c r="O65" s="91">
        <f t="shared" ref="O65" si="19">O63-O64</f>
        <v>104425197.83604813</v>
      </c>
      <c r="P65" s="91">
        <f t="shared" ref="P65" si="20">P63-P64</f>
        <v>101864105.07903984</v>
      </c>
      <c r="Q65" s="91">
        <f t="shared" ref="Q65" si="21">Q63-Q64</f>
        <v>106074558.31443073</v>
      </c>
      <c r="R65" s="92">
        <f t="shared" ref="R65" si="22">R63-R64</f>
        <v>258033318.89208931</v>
      </c>
    </row>
    <row r="66" spans="7:18">
      <c r="G66" s="85" t="s">
        <v>87</v>
      </c>
      <c r="H66" s="69"/>
      <c r="I66" s="627">
        <f>I65/-$H$65</f>
        <v>3.5262809688273249</v>
      </c>
      <c r="J66" s="627">
        <f>J65/-$H$65</f>
        <v>1.0165480887398979</v>
      </c>
      <c r="K66" s="627">
        <f>K65/-$H$65</f>
        <v>0.98503017539141025</v>
      </c>
      <c r="L66" s="627">
        <f>L65/-$H$65</f>
        <v>0.97503111982071522</v>
      </c>
      <c r="M66" s="627">
        <f>M65/-$H$65</f>
        <v>0.97658542835885465</v>
      </c>
      <c r="N66" s="627">
        <f>N65/-$H$65</f>
        <v>0.973273323993326</v>
      </c>
      <c r="O66" s="627">
        <f>O65/-$H$65</f>
        <v>0.89731951977939983</v>
      </c>
      <c r="P66" s="627">
        <f>P65/-$H$65</f>
        <v>0.87531220190543879</v>
      </c>
      <c r="Q66" s="627">
        <f>Q65/-$H$65</f>
        <v>0.91149237636071134</v>
      </c>
      <c r="R66" s="42"/>
    </row>
    <row r="67" spans="7:18" ht="15.95" thickBot="1">
      <c r="G67" s="85"/>
      <c r="H67" s="94" t="s">
        <v>89</v>
      </c>
      <c r="I67" s="94" t="s">
        <v>90</v>
      </c>
      <c r="J67" s="627"/>
      <c r="K67" s="627"/>
      <c r="L67" s="627"/>
      <c r="M67" s="627"/>
      <c r="N67" s="627"/>
      <c r="O67" s="627"/>
      <c r="P67" s="627"/>
      <c r="Q67" s="627"/>
      <c r="R67" s="62">
        <f>SUM(I63:R63)</f>
        <v>2390896083.0618567</v>
      </c>
    </row>
    <row r="68" spans="7:18">
      <c r="G68" s="88" t="s">
        <v>92</v>
      </c>
      <c r="H68" s="89">
        <f>NPV(J7,I65,J65,K65,L65,M65,N65,O65,P65,Q65,R65)+H65</f>
        <v>991604876.47590864</v>
      </c>
      <c r="I68" s="89">
        <f>NPV(J7,I63,J63,K63,L63,M63,N63,O63,P63,Q63,R63)+H63</f>
        <v>1588209208.5524702</v>
      </c>
      <c r="R68" s="62">
        <f>SUM(I65:R65)</f>
        <v>1554082453.9902072</v>
      </c>
    </row>
    <row r="69" spans="7:18" ht="15.95" thickBot="1">
      <c r="G69" s="90" t="s">
        <v>76</v>
      </c>
      <c r="H69" s="465">
        <f>IRR(H65:R65)</f>
        <v>2.8765877859561462</v>
      </c>
      <c r="I69" s="465">
        <f>IRR(H63:R63)</f>
        <v>4.7522634134585999</v>
      </c>
      <c r="J69" s="86"/>
      <c r="K69" s="86"/>
      <c r="L69" s="86"/>
      <c r="M69" s="86"/>
      <c r="N69" s="86"/>
      <c r="O69" s="86"/>
      <c r="P69" s="86"/>
      <c r="Q69" s="86"/>
      <c r="R69" s="87"/>
    </row>
    <row r="71" spans="7:18">
      <c r="H71" s="61">
        <f>D40+D41</f>
        <v>-337232942.48000002</v>
      </c>
      <c r="I71" s="61">
        <f>E44-E28</f>
        <v>686742242.0658462</v>
      </c>
      <c r="J71" s="61">
        <f>F44-F28</f>
        <v>206516062.84486851</v>
      </c>
      <c r="K71" s="61">
        <f>G44-G28</f>
        <v>200485250.87103218</v>
      </c>
      <c r="L71" s="61">
        <f>H44-H28</f>
        <v>198571976.23904589</v>
      </c>
      <c r="M71" s="61">
        <f>I44-I28</f>
        <v>198869386.23694783</v>
      </c>
      <c r="N71" s="61">
        <f>J44-J28</f>
        <v>198235629.85703239</v>
      </c>
      <c r="O71" s="61">
        <f>K44-K28</f>
        <v>183702208.59760287</v>
      </c>
      <c r="P71" s="61">
        <f>L44-L28</f>
        <v>179491206.59760287</v>
      </c>
      <c r="Q71" s="61">
        <f>M44-M28</f>
        <v>186414121.41457683</v>
      </c>
      <c r="R71" s="61">
        <f>N44-N28</f>
        <v>436267877.37831104</v>
      </c>
    </row>
    <row r="76" spans="7:18">
      <c r="H76" s="95"/>
      <c r="I76" s="96"/>
      <c r="J76" s="96"/>
    </row>
    <row r="77" spans="7:18">
      <c r="I77" s="628"/>
    </row>
    <row r="78" spans="7:18">
      <c r="I78" s="628"/>
    </row>
  </sheetData>
  <mergeCells count="17">
    <mergeCell ref="Q6:R6"/>
    <mergeCell ref="Q7:R7"/>
    <mergeCell ref="Q9:R9"/>
    <mergeCell ref="G48:R48"/>
    <mergeCell ref="G60:R60"/>
    <mergeCell ref="Q8:R8"/>
    <mergeCell ref="B26:N26"/>
    <mergeCell ref="B2:C2"/>
    <mergeCell ref="I2:J2"/>
    <mergeCell ref="E10:F10"/>
    <mergeCell ref="L2:N2"/>
    <mergeCell ref="L10:M10"/>
    <mergeCell ref="Q2:S2"/>
    <mergeCell ref="Q3:R3"/>
    <mergeCell ref="Q4:R4"/>
    <mergeCell ref="Q5:R5"/>
    <mergeCell ref="E2:G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B2572-20C5-49B0-B8E7-9B28C1A5F19D}">
  <sheetPr>
    <tabColor theme="6" tint="0.79998168889431442"/>
  </sheetPr>
  <dimension ref="B1:R41"/>
  <sheetViews>
    <sheetView workbookViewId="0">
      <selection activeCell="E29" sqref="E29:N29"/>
    </sheetView>
  </sheetViews>
  <sheetFormatPr defaultColWidth="9" defaultRowHeight="12.95"/>
  <cols>
    <col min="1" max="1" width="9.33203125"/>
    <col min="2" max="2" width="34.1640625" bestFit="1" customWidth="1"/>
    <col min="3" max="3" width="21.33203125" customWidth="1"/>
    <col min="4" max="4" width="14" bestFit="1" customWidth="1"/>
    <col min="5" max="5" width="20.33203125" customWidth="1"/>
    <col min="6" max="6" width="16.6640625" bestFit="1" customWidth="1"/>
    <col min="7" max="8" width="17.33203125" customWidth="1"/>
    <col min="9" max="9" width="18" customWidth="1"/>
    <col min="10" max="10" width="18.33203125" customWidth="1"/>
    <col min="11" max="11" width="19.33203125" customWidth="1"/>
    <col min="12" max="12" width="17.1640625" customWidth="1"/>
    <col min="13" max="13" width="16.6640625" customWidth="1"/>
    <col min="14" max="14" width="17.33203125" customWidth="1"/>
    <col min="18" max="18" width="10" bestFit="1" customWidth="1"/>
  </cols>
  <sheetData>
    <row r="1" spans="2:15" ht="14.1" thickBot="1"/>
    <row r="2" spans="2:15" ht="18" customHeight="1">
      <c r="B2" s="727" t="s">
        <v>527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9"/>
    </row>
    <row r="3" spans="2:15" ht="18">
      <c r="B3" s="730" t="s">
        <v>39</v>
      </c>
      <c r="C3" s="731"/>
      <c r="D3" s="731"/>
      <c r="E3" s="54">
        <v>2024</v>
      </c>
      <c r="F3" s="54">
        <v>2025</v>
      </c>
      <c r="G3" s="54">
        <v>2026</v>
      </c>
      <c r="H3" s="54">
        <v>2027</v>
      </c>
      <c r="I3" s="425">
        <v>2028</v>
      </c>
      <c r="J3" s="54">
        <v>2029</v>
      </c>
      <c r="K3" s="425">
        <v>2030</v>
      </c>
      <c r="L3" s="54">
        <v>2031</v>
      </c>
      <c r="M3" s="54">
        <v>2032</v>
      </c>
      <c r="N3" s="556">
        <v>2033</v>
      </c>
      <c r="O3" s="426" t="s">
        <v>176</v>
      </c>
    </row>
    <row r="4" spans="2:15" ht="12.95" customHeight="1">
      <c r="B4" s="732" t="s">
        <v>40</v>
      </c>
      <c r="C4" s="733"/>
      <c r="D4" s="733"/>
      <c r="E4" s="550">
        <f>((Infra!E9*Assumptions!$B$25))*(1-Assumptions!$B$31+0.5)</f>
        <v>422040</v>
      </c>
      <c r="F4" s="550">
        <f>(((Infra!F9+Infra!E9)*Assumptions!$B$25))*(1-Assumptions!$B$31+0.5)</f>
        <v>981810</v>
      </c>
      <c r="G4" s="550">
        <f>(((Infra!G9+Infra!F9+Infra!E9)*Assumptions!$B$25))*(1-Assumptions!$B$31+0.5)</f>
        <v>1882980</v>
      </c>
      <c r="H4" s="550">
        <f>(((Infra!H9+Infra!G9+Infra!F9+Infra!E9)*Assumptions!$B$25))*(1-Assumptions!$B$31+0.5)</f>
        <v>2881440</v>
      </c>
      <c r="I4" s="550">
        <f>(((Infra!I9+Infra!H9+Infra!G9+Infra!F9+Infra!E9)*Assumptions!$B$25))*(1-Assumptions!$B$31+0.5)</f>
        <v>4000050</v>
      </c>
      <c r="J4" s="550">
        <f>(((Infra!J9+Infra!I9+Infra!H9+Infra!G9+Infra!F9+Infra!E9)*Assumptions!$B$25))*(1-Assumptions!$B$31+0.5)</f>
        <v>4767090</v>
      </c>
      <c r="K4" s="550">
        <f>(((Infra!K9+Infra!J9+Infra!I9+Infra!H9+Infra!G9+Infra!F9+Infra!E9)*Assumptions!$B$25))*(1-Assumptions!$B$31+0.5)</f>
        <v>4767090</v>
      </c>
      <c r="L4" s="550">
        <f>(((Infra!L9+Infra!K9+Infra!J9+Infra!I9+Infra!H9+Infra!G9+Infra!F9+Infra!E9)*Assumptions!$B$25))*(1-Assumptions!$B$31+0.5)</f>
        <v>4767090</v>
      </c>
      <c r="M4" s="550">
        <f>(((Infra!M9+Infra!L9+Infra!K9+Infra!J9+Infra!I9+Infra!H9+Infra!G9+Infra!F9+Infra!E9)*Assumptions!$B$25))*(1-Assumptions!$B$31+0.5)</f>
        <v>5479500</v>
      </c>
      <c r="N4" s="577">
        <f>(((Infra!N9+Infra!M9+Infra!L9+Infra!K9+Infra!J9+Infra!I9+Infra!H9+Infra!G9+Infra!F9+Infra!E9)*Assumptions!$B$25))*(1-Assumptions!$B$31+0.5)</f>
        <v>6191910</v>
      </c>
    </row>
    <row r="5" spans="2:15">
      <c r="B5" s="725" t="s">
        <v>41</v>
      </c>
      <c r="C5" s="726"/>
      <c r="D5" s="726"/>
      <c r="E5" s="10">
        <f>-E4*Assumptions!$B$29</f>
        <v>-70185.252000000008</v>
      </c>
      <c r="F5" s="10">
        <f>-F4*Assumptions!$B$29</f>
        <v>-163275.003</v>
      </c>
      <c r="G5" s="10">
        <f>-G4*Assumptions!$B$29</f>
        <v>-313139.57400000002</v>
      </c>
      <c r="H5" s="10">
        <f>-H4*Assumptions!$B$29</f>
        <v>-479183.47200000001</v>
      </c>
      <c r="I5" s="10">
        <f>-I4*Assumptions!$B$29</f>
        <v>-665208.31500000006</v>
      </c>
      <c r="J5" s="10">
        <f>-J4*Assumptions!$B$29</f>
        <v>-792767.06700000004</v>
      </c>
      <c r="K5" s="10">
        <f>-K4*Assumptions!$B$29</f>
        <v>-792767.06700000004</v>
      </c>
      <c r="L5" s="10">
        <f>-L4*Assumptions!$B$29</f>
        <v>-792767.06700000004</v>
      </c>
      <c r="M5" s="10">
        <f>-M4*Assumptions!$B$29</f>
        <v>-911240.85</v>
      </c>
      <c r="N5" s="564">
        <f>-N4*Assumptions!$B$29</f>
        <v>-1029714.633</v>
      </c>
    </row>
    <row r="6" spans="2:15">
      <c r="B6" s="734" t="s">
        <v>42</v>
      </c>
      <c r="C6" s="735"/>
      <c r="D6" s="735"/>
      <c r="E6" s="10">
        <f>E4+E5</f>
        <v>351854.74800000002</v>
      </c>
      <c r="F6" s="10">
        <f t="shared" ref="F6:N6" si="0">F4+F5</f>
        <v>818534.99699999997</v>
      </c>
      <c r="G6" s="10">
        <f t="shared" si="0"/>
        <v>1569840.426</v>
      </c>
      <c r="H6" s="10">
        <f t="shared" si="0"/>
        <v>2402256.5279999999</v>
      </c>
      <c r="I6" s="10">
        <f t="shared" si="0"/>
        <v>3334841.6850000001</v>
      </c>
      <c r="J6" s="10">
        <f t="shared" si="0"/>
        <v>3974322.9330000002</v>
      </c>
      <c r="K6" s="10">
        <f t="shared" si="0"/>
        <v>3974322.9330000002</v>
      </c>
      <c r="L6" s="10">
        <f t="shared" si="0"/>
        <v>3974322.9330000002</v>
      </c>
      <c r="M6" s="10">
        <f t="shared" si="0"/>
        <v>4568259.1500000004</v>
      </c>
      <c r="N6" s="564">
        <f t="shared" si="0"/>
        <v>5162195.3669999996</v>
      </c>
    </row>
    <row r="7" spans="2:15">
      <c r="B7" s="736" t="s">
        <v>43</v>
      </c>
      <c r="C7" s="737"/>
      <c r="D7" s="737"/>
      <c r="E7" s="10">
        <f>Assumptions!$B$28*Assumptions!$B$24</f>
        <v>2600000</v>
      </c>
      <c r="F7" s="10">
        <f>Assumptions!$B$28*Assumptions!$B$24</f>
        <v>2600000</v>
      </c>
      <c r="G7" s="10">
        <f>Assumptions!$B$28*Assumptions!$B$24</f>
        <v>2600000</v>
      </c>
      <c r="H7" s="10">
        <f>Assumptions!$B$28*Assumptions!$B$24</f>
        <v>2600000</v>
      </c>
      <c r="I7" s="10">
        <f>Assumptions!$B$28*Assumptions!$B$24</f>
        <v>2600000</v>
      </c>
      <c r="J7" s="10">
        <f>Assumptions!$B$28*Assumptions!$B$24</f>
        <v>2600000</v>
      </c>
      <c r="K7" s="10">
        <f>Assumptions!$B$28*Assumptions!$B$24</f>
        <v>2600000</v>
      </c>
      <c r="L7" s="10">
        <f>Assumptions!$B$28*Assumptions!$B$24</f>
        <v>2600000</v>
      </c>
      <c r="M7" s="10">
        <f>Assumptions!$B$28*Assumptions!$B$24</f>
        <v>2600000</v>
      </c>
      <c r="N7" s="564">
        <f>Assumptions!$B$28*Assumptions!$B$24</f>
        <v>2600000</v>
      </c>
    </row>
    <row r="8" spans="2:15">
      <c r="B8" s="736" t="s">
        <v>44</v>
      </c>
      <c r="C8" s="737"/>
      <c r="D8" s="737"/>
      <c r="E8" s="551">
        <f>E6</f>
        <v>351854.74800000002</v>
      </c>
      <c r="F8" s="551">
        <f>F6+F7</f>
        <v>3418534.997</v>
      </c>
      <c r="G8" s="551">
        <f t="shared" ref="G8:N8" si="1">G6+G7</f>
        <v>4169840.426</v>
      </c>
      <c r="H8" s="551">
        <f t="shared" si="1"/>
        <v>5002256.5279999999</v>
      </c>
      <c r="I8" s="551">
        <f t="shared" si="1"/>
        <v>5934841.6850000005</v>
      </c>
      <c r="J8" s="551">
        <f t="shared" si="1"/>
        <v>6574322.9330000002</v>
      </c>
      <c r="K8" s="551">
        <f t="shared" si="1"/>
        <v>6574322.9330000002</v>
      </c>
      <c r="L8" s="551">
        <f t="shared" si="1"/>
        <v>6574322.9330000002</v>
      </c>
      <c r="M8" s="551">
        <f t="shared" si="1"/>
        <v>7168259.1500000004</v>
      </c>
      <c r="N8" s="579">
        <f t="shared" si="1"/>
        <v>7762195.3669999996</v>
      </c>
    </row>
    <row r="9" spans="2:15">
      <c r="B9" s="738" t="s">
        <v>45</v>
      </c>
      <c r="C9" s="739"/>
      <c r="D9" s="739"/>
      <c r="E9" s="1"/>
      <c r="F9" s="3"/>
      <c r="G9" s="4"/>
      <c r="H9" s="5"/>
      <c r="I9" s="5"/>
      <c r="J9" s="4"/>
      <c r="K9" s="5"/>
      <c r="L9" s="5"/>
      <c r="M9" s="5"/>
      <c r="N9" s="558"/>
    </row>
    <row r="10" spans="2:15">
      <c r="B10" s="725" t="s">
        <v>46</v>
      </c>
      <c r="C10" s="726"/>
      <c r="D10" s="726"/>
      <c r="E10" s="10">
        <f>-Assumptions!$D$9*Assumptions!$B$28</f>
        <v>-110</v>
      </c>
      <c r="F10" s="10">
        <f>-Assumptions!$D$9*Assumptions!$B$28</f>
        <v>-110</v>
      </c>
      <c r="G10" s="10">
        <f>-Assumptions!$D$9*Assumptions!$B$28</f>
        <v>-110</v>
      </c>
      <c r="H10" s="10">
        <f>-Assumptions!$D$9*Assumptions!$B$28</f>
        <v>-110</v>
      </c>
      <c r="I10" s="10">
        <f>-Assumptions!$D$9*Assumptions!$B$28</f>
        <v>-110</v>
      </c>
      <c r="J10" s="10">
        <f>-Assumptions!$D$9*Assumptions!$B$28</f>
        <v>-110</v>
      </c>
      <c r="K10" s="10">
        <f>-Assumptions!$D$9*Assumptions!$B$28</f>
        <v>-110</v>
      </c>
      <c r="L10" s="10">
        <f>-Assumptions!$D$9*Assumptions!$B$28</f>
        <v>-110</v>
      </c>
      <c r="M10" s="10">
        <f>-Assumptions!$D$9*Assumptions!$B$28</f>
        <v>-110</v>
      </c>
      <c r="N10" s="564">
        <f>-Assumptions!$D$9*Assumptions!$B$28</f>
        <v>-110</v>
      </c>
    </row>
    <row r="11" spans="2:15">
      <c r="B11" s="725" t="s">
        <v>47</v>
      </c>
      <c r="C11" s="726"/>
      <c r="D11" s="726"/>
      <c r="E11" s="16">
        <f>-$C$41</f>
        <v>-198787.68000000005</v>
      </c>
      <c r="F11" s="16">
        <f t="shared" ref="F11:N11" si="2">-$C$41</f>
        <v>-198787.68000000005</v>
      </c>
      <c r="G11" s="16">
        <f t="shared" si="2"/>
        <v>-198787.68000000005</v>
      </c>
      <c r="H11" s="16">
        <f t="shared" si="2"/>
        <v>-198787.68000000005</v>
      </c>
      <c r="I11" s="16">
        <f t="shared" si="2"/>
        <v>-198787.68000000005</v>
      </c>
      <c r="J11" s="16">
        <f t="shared" si="2"/>
        <v>-198787.68000000005</v>
      </c>
      <c r="K11" s="16">
        <f t="shared" si="2"/>
        <v>-198787.68000000005</v>
      </c>
      <c r="L11" s="16">
        <f t="shared" si="2"/>
        <v>-198787.68000000005</v>
      </c>
      <c r="M11" s="16">
        <f t="shared" si="2"/>
        <v>-198787.68000000005</v>
      </c>
      <c r="N11" s="557">
        <f t="shared" si="2"/>
        <v>-198787.68000000005</v>
      </c>
    </row>
    <row r="12" spans="2:15">
      <c r="B12" s="725" t="s">
        <v>48</v>
      </c>
      <c r="C12" s="726"/>
      <c r="D12" s="726"/>
      <c r="E12" s="10">
        <f>-E6*Assumptions!$D$6</f>
        <v>-14074.189920000001</v>
      </c>
      <c r="F12" s="10">
        <f>-F6*Assumptions!$D$6</f>
        <v>-32741.399880000001</v>
      </c>
      <c r="G12" s="10">
        <f>-G6*Assumptions!$D$6</f>
        <v>-62793.617039999997</v>
      </c>
      <c r="H12" s="10">
        <f>-H6*Assumptions!$D$6</f>
        <v>-96090.261119999996</v>
      </c>
      <c r="I12" s="10">
        <f>-I6*Assumptions!$D$6</f>
        <v>-133393.66740000001</v>
      </c>
      <c r="J12" s="10">
        <f>-J6*Assumptions!$D$6</f>
        <v>-158972.91732000001</v>
      </c>
      <c r="K12" s="10">
        <f>-K6*Assumptions!$D$6</f>
        <v>-158972.91732000001</v>
      </c>
      <c r="L12" s="10">
        <f>-L6*Assumptions!$D$6</f>
        <v>-158972.91732000001</v>
      </c>
      <c r="M12" s="10">
        <f>-M6*Assumptions!$D$6</f>
        <v>-182730.36600000001</v>
      </c>
      <c r="N12" s="564">
        <f>-N6*Assumptions!$D$6</f>
        <v>-206487.81467999998</v>
      </c>
    </row>
    <row r="13" spans="2:15">
      <c r="B13" s="725" t="s">
        <v>49</v>
      </c>
      <c r="C13" s="726"/>
      <c r="D13" s="726"/>
      <c r="E13" s="10">
        <f>-$D$33*Assumptions!$D$10</f>
        <v>-275000</v>
      </c>
      <c r="F13" s="10">
        <f>-$D$33*Assumptions!$D$10</f>
        <v>-275000</v>
      </c>
      <c r="G13" s="10">
        <f>-$D$33*Assumptions!$D$10</f>
        <v>-275000</v>
      </c>
      <c r="H13" s="10">
        <f>-$D$33*Assumptions!$D$10</f>
        <v>-275000</v>
      </c>
      <c r="I13" s="10">
        <f>-$D$33*Assumptions!$D$10</f>
        <v>-275000</v>
      </c>
      <c r="J13" s="10">
        <f>-$D$33*Assumptions!$D$10</f>
        <v>-275000</v>
      </c>
      <c r="K13" s="10">
        <f>-$D$33*Assumptions!$D$10</f>
        <v>-275000</v>
      </c>
      <c r="L13" s="10">
        <f>-$D$33*Assumptions!$D$10</f>
        <v>-275000</v>
      </c>
      <c r="M13" s="10">
        <f>-$D$33*Assumptions!$D$10</f>
        <v>-275000</v>
      </c>
      <c r="N13" s="564">
        <f>-$D$33*Assumptions!$D$10</f>
        <v>-275000</v>
      </c>
    </row>
    <row r="14" spans="2:15">
      <c r="B14" s="725" t="s">
        <v>498</v>
      </c>
      <c r="C14" s="726"/>
      <c r="D14" s="726"/>
      <c r="E14" s="10">
        <f>-E6*Assumptions!$B$33</f>
        <v>-10555.64244</v>
      </c>
      <c r="F14" s="10">
        <f>-F6*Assumptions!$B$33</f>
        <v>-24556.049909999998</v>
      </c>
      <c r="G14" s="10">
        <f>-G6*Assumptions!$B$33</f>
        <v>-47095.212779999994</v>
      </c>
      <c r="H14" s="10">
        <f>-H6*Assumptions!$B$33</f>
        <v>-72067.69584</v>
      </c>
      <c r="I14" s="10">
        <f>-I6*Assumptions!$B$33</f>
        <v>-100045.25055</v>
      </c>
      <c r="J14" s="10">
        <f>-J6*Assumptions!$B$33</f>
        <v>-119229.68799000001</v>
      </c>
      <c r="K14" s="10">
        <f>-K6*Assumptions!$B$33</f>
        <v>-119229.68799000001</v>
      </c>
      <c r="L14" s="10">
        <f>-L6*Assumptions!$B$33</f>
        <v>-119229.68799000001</v>
      </c>
      <c r="M14" s="10">
        <f>-M6*Assumptions!$B$33</f>
        <v>-137047.7745</v>
      </c>
      <c r="N14" s="564">
        <f>-N6*Assumptions!$B$33</f>
        <v>-154865.86100999999</v>
      </c>
    </row>
    <row r="15" spans="2:15">
      <c r="B15" s="742" t="s">
        <v>51</v>
      </c>
      <c r="C15" s="743"/>
      <c r="D15" s="743"/>
      <c r="E15" s="12">
        <f>E10+E12+E14+E11+E13</f>
        <v>-498527.51236000005</v>
      </c>
      <c r="F15" s="12">
        <f>F10+F12+F14+F11+F13</f>
        <v>-531195.12979000004</v>
      </c>
      <c r="G15" s="12">
        <f t="shared" ref="G15:N15" si="3">G10+G12+G14+G11+G13</f>
        <v>-583786.50982000004</v>
      </c>
      <c r="H15" s="12">
        <f t="shared" si="3"/>
        <v>-642055.63696000003</v>
      </c>
      <c r="I15" s="12">
        <f t="shared" si="3"/>
        <v>-707336.59795000008</v>
      </c>
      <c r="J15" s="12">
        <f t="shared" si="3"/>
        <v>-752100.28531000006</v>
      </c>
      <c r="K15" s="12">
        <f t="shared" si="3"/>
        <v>-752100.28531000006</v>
      </c>
      <c r="L15" s="12">
        <f t="shared" si="3"/>
        <v>-752100.28531000006</v>
      </c>
      <c r="M15" s="12">
        <f t="shared" si="3"/>
        <v>-793675.82050000003</v>
      </c>
      <c r="N15" s="565">
        <f t="shared" si="3"/>
        <v>-835251.35569</v>
      </c>
    </row>
    <row r="16" spans="2:15">
      <c r="B16" s="652"/>
      <c r="C16" s="653"/>
      <c r="D16" s="653"/>
      <c r="E16" s="653"/>
      <c r="F16" s="653"/>
      <c r="G16" s="653"/>
      <c r="H16" s="653"/>
      <c r="I16" s="653"/>
      <c r="J16" s="653"/>
      <c r="K16" s="653"/>
      <c r="L16" s="653"/>
      <c r="M16" s="653"/>
      <c r="N16" s="654"/>
    </row>
    <row r="17" spans="2:18">
      <c r="B17" s="736" t="s">
        <v>52</v>
      </c>
      <c r="C17" s="737"/>
      <c r="D17" s="737"/>
      <c r="E17" s="10">
        <f>E8+E15</f>
        <v>-146672.76436000003</v>
      </c>
      <c r="F17" s="10">
        <f t="shared" ref="F17:N17" si="4">F8+F15</f>
        <v>2887339.8672099998</v>
      </c>
      <c r="G17" s="10">
        <f t="shared" si="4"/>
        <v>3586053.9161799997</v>
      </c>
      <c r="H17" s="10">
        <f t="shared" si="4"/>
        <v>4360200.8910400001</v>
      </c>
      <c r="I17" s="10">
        <f t="shared" si="4"/>
        <v>5227505.0870500002</v>
      </c>
      <c r="J17" s="10">
        <f t="shared" si="4"/>
        <v>5822222.64769</v>
      </c>
      <c r="K17" s="10">
        <f t="shared" si="4"/>
        <v>5822222.64769</v>
      </c>
      <c r="L17" s="10">
        <f t="shared" si="4"/>
        <v>5822222.64769</v>
      </c>
      <c r="M17" s="10">
        <f t="shared" si="4"/>
        <v>6374583.3295</v>
      </c>
      <c r="N17" s="564">
        <f t="shared" si="4"/>
        <v>6926944.01131</v>
      </c>
    </row>
    <row r="18" spans="2:18">
      <c r="B18" s="470" t="s">
        <v>53</v>
      </c>
      <c r="E18" s="10">
        <f>-$F$34</f>
        <v>-346499.99999999994</v>
      </c>
      <c r="F18" s="10">
        <f t="shared" ref="F18:N18" si="5">-$F$34</f>
        <v>-346499.99999999994</v>
      </c>
      <c r="G18" s="10">
        <f t="shared" si="5"/>
        <v>-346499.99999999994</v>
      </c>
      <c r="H18" s="10">
        <f t="shared" si="5"/>
        <v>-346499.99999999994</v>
      </c>
      <c r="I18" s="10">
        <f t="shared" si="5"/>
        <v>-346499.99999999994</v>
      </c>
      <c r="J18" s="10">
        <f t="shared" si="5"/>
        <v>-346499.99999999994</v>
      </c>
      <c r="K18" s="10">
        <f t="shared" si="5"/>
        <v>-346499.99999999994</v>
      </c>
      <c r="L18" s="10">
        <f t="shared" si="5"/>
        <v>-346499.99999999994</v>
      </c>
      <c r="M18" s="10">
        <f t="shared" si="5"/>
        <v>-346499.99999999994</v>
      </c>
      <c r="N18" s="564">
        <f t="shared" si="5"/>
        <v>-346499.99999999994</v>
      </c>
    </row>
    <row r="19" spans="2:18">
      <c r="B19" s="470" t="s">
        <v>54</v>
      </c>
      <c r="E19" s="7">
        <f>-$D$33/Assumptions!$D$7</f>
        <v>-282051.28205128206</v>
      </c>
      <c r="F19" s="7">
        <f>-$D$33/Assumptions!$D$7</f>
        <v>-282051.28205128206</v>
      </c>
      <c r="G19" s="7">
        <f>-$D$33/Assumptions!$D$7</f>
        <v>-282051.28205128206</v>
      </c>
      <c r="H19" s="7">
        <f>-$D$33/Assumptions!$D$7</f>
        <v>-282051.28205128206</v>
      </c>
      <c r="I19" s="7">
        <f>-$D$33/Assumptions!$D$7</f>
        <v>-282051.28205128206</v>
      </c>
      <c r="J19" s="7">
        <f>-$D$33/Assumptions!$D$7</f>
        <v>-282051.28205128206</v>
      </c>
      <c r="K19" s="7">
        <f>-$D$33/Assumptions!$D$7</f>
        <v>-282051.28205128206</v>
      </c>
      <c r="L19" s="7">
        <f>-$D$33/Assumptions!$D$7</f>
        <v>-282051.28205128206</v>
      </c>
      <c r="M19" s="7">
        <f>-$D$33/Assumptions!$D$7</f>
        <v>-282051.28205128206</v>
      </c>
      <c r="N19" s="581">
        <f>-$D$33/Assumptions!$D$7</f>
        <v>-282051.28205128206</v>
      </c>
    </row>
    <row r="20" spans="2:18">
      <c r="B20" s="470" t="s">
        <v>528</v>
      </c>
      <c r="E20" s="7">
        <f>-C34/Assumptions!D8</f>
        <v>-2600000</v>
      </c>
      <c r="F20" s="7"/>
      <c r="G20" s="7"/>
      <c r="H20" s="7"/>
      <c r="I20" s="7"/>
      <c r="J20" s="7"/>
      <c r="K20" s="7"/>
      <c r="L20" s="7"/>
      <c r="M20" s="7"/>
      <c r="N20" s="581"/>
    </row>
    <row r="21" spans="2:18">
      <c r="B21" s="470" t="s">
        <v>56</v>
      </c>
      <c r="E21" s="10">
        <f>E17+E18+E19+E20</f>
        <v>-3375224.0464112819</v>
      </c>
      <c r="F21" s="10">
        <f t="shared" ref="F21:N21" si="6">F17+F18+F19+F20</f>
        <v>2258788.5851587178</v>
      </c>
      <c r="G21" s="10">
        <f t="shared" si="6"/>
        <v>2957502.6341287177</v>
      </c>
      <c r="H21" s="10">
        <f t="shared" si="6"/>
        <v>3731649.6089887181</v>
      </c>
      <c r="I21" s="10">
        <f t="shared" si="6"/>
        <v>4598953.8049987182</v>
      </c>
      <c r="J21" s="10">
        <f t="shared" si="6"/>
        <v>5193671.365638718</v>
      </c>
      <c r="K21" s="10">
        <f t="shared" si="6"/>
        <v>5193671.365638718</v>
      </c>
      <c r="L21" s="10">
        <f t="shared" si="6"/>
        <v>5193671.365638718</v>
      </c>
      <c r="M21" s="10">
        <f t="shared" si="6"/>
        <v>5746032.047448718</v>
      </c>
      <c r="N21" s="564">
        <f t="shared" si="6"/>
        <v>6298392.729258718</v>
      </c>
    </row>
    <row r="22" spans="2:18">
      <c r="B22" s="469" t="s">
        <v>310</v>
      </c>
      <c r="E22" s="10">
        <f>Infra!$I$80*Infra!E9</f>
        <v>833669.67999999993</v>
      </c>
      <c r="F22" s="10">
        <f>Infra!$I$80*Infra!F9</f>
        <v>1105732.3399999999</v>
      </c>
      <c r="G22" s="10">
        <f>Infra!$I$80*Infra!G9</f>
        <v>1780111.14</v>
      </c>
      <c r="H22" s="10">
        <f>Infra!$I$80*Infra!H9</f>
        <v>1972291.3199999998</v>
      </c>
      <c r="I22" s="10">
        <f>Infra!$I$80*Infra!I9</f>
        <v>2209627.62</v>
      </c>
      <c r="J22" s="10">
        <f>Infra!$I$80*Infra!J9</f>
        <v>1515159.68</v>
      </c>
      <c r="K22" s="10">
        <f>Infra!$I$80*Infra!K9</f>
        <v>0</v>
      </c>
      <c r="L22" s="10">
        <f>Infra!$I$80*Infra!L9</f>
        <v>0</v>
      </c>
      <c r="M22" s="10">
        <f>Infra!$I$80*Infra!M9</f>
        <v>1407247.22</v>
      </c>
      <c r="N22" s="564">
        <f>Infra!$I$80*Infra!N9</f>
        <v>1407247.22</v>
      </c>
    </row>
    <row r="23" spans="2:18">
      <c r="B23" s="470" t="s">
        <v>58</v>
      </c>
      <c r="E23" s="10">
        <f>E21*Assumptions!$D$24</f>
        <v>-345960.46475715638</v>
      </c>
      <c r="F23" s="10">
        <f>F21*Assumptions!$D$24</f>
        <v>231525.82997876857</v>
      </c>
      <c r="G23" s="10">
        <f>G21*Assumptions!$D$24</f>
        <v>303144.01999819354</v>
      </c>
      <c r="H23" s="10">
        <f>H21*Assumptions!$D$24</f>
        <v>382494.0849213436</v>
      </c>
      <c r="I23" s="10">
        <f>I21*Assumptions!$D$24</f>
        <v>471392.76501236856</v>
      </c>
      <c r="J23" s="10">
        <f>J21*Assumptions!$D$24</f>
        <v>532351.31497796858</v>
      </c>
      <c r="K23" s="10">
        <f>K21*Assumptions!$D$24</f>
        <v>532351.31497796858</v>
      </c>
      <c r="L23" s="10">
        <f>L21*Assumptions!$D$24</f>
        <v>532351.31497796858</v>
      </c>
      <c r="M23" s="10">
        <f>M21*Assumptions!$D$24</f>
        <v>588968.28486349352</v>
      </c>
      <c r="N23" s="564">
        <f>N21*Assumptions!$D$24</f>
        <v>645585.25474901858</v>
      </c>
    </row>
    <row r="24" spans="2:18">
      <c r="B24" s="470" t="s">
        <v>59</v>
      </c>
      <c r="E24" s="10">
        <f>E17-E23</f>
        <v>199287.70039715635</v>
      </c>
      <c r="F24" s="10">
        <f t="shared" ref="F24:N24" si="7">F17-F23</f>
        <v>2655814.0372312311</v>
      </c>
      <c r="G24" s="10">
        <f t="shared" si="7"/>
        <v>3282909.896181806</v>
      </c>
      <c r="H24" s="10">
        <f t="shared" si="7"/>
        <v>3977706.8061186564</v>
      </c>
      <c r="I24" s="10">
        <f t="shared" si="7"/>
        <v>4756112.3220376316</v>
      </c>
      <c r="J24" s="10">
        <f t="shared" si="7"/>
        <v>5289871.3327120319</v>
      </c>
      <c r="K24" s="10">
        <f t="shared" si="7"/>
        <v>5289871.3327120319</v>
      </c>
      <c r="L24" s="10">
        <f t="shared" si="7"/>
        <v>5289871.3327120319</v>
      </c>
      <c r="M24" s="10">
        <f t="shared" si="7"/>
        <v>5785615.0446365066</v>
      </c>
      <c r="N24" s="564">
        <f t="shared" si="7"/>
        <v>6281358.7565609813</v>
      </c>
    </row>
    <row r="25" spans="2:18">
      <c r="B25" s="470" t="s">
        <v>502</v>
      </c>
      <c r="E25" s="10">
        <f>$F$33</f>
        <v>346499.99999999994</v>
      </c>
      <c r="F25" s="10">
        <f t="shared" ref="F25:N25" si="8">$F$33</f>
        <v>346499.99999999994</v>
      </c>
      <c r="G25" s="10">
        <f t="shared" si="8"/>
        <v>346499.99999999994</v>
      </c>
      <c r="H25" s="10">
        <f t="shared" si="8"/>
        <v>346499.99999999994</v>
      </c>
      <c r="I25" s="10">
        <f t="shared" si="8"/>
        <v>346499.99999999994</v>
      </c>
      <c r="J25" s="10">
        <f t="shared" si="8"/>
        <v>346499.99999999994</v>
      </c>
      <c r="K25" s="10">
        <f t="shared" si="8"/>
        <v>346499.99999999994</v>
      </c>
      <c r="L25" s="10">
        <f t="shared" si="8"/>
        <v>346499.99999999994</v>
      </c>
      <c r="M25" s="10">
        <f t="shared" si="8"/>
        <v>346499.99999999994</v>
      </c>
      <c r="N25" s="564">
        <f t="shared" si="8"/>
        <v>346499.99999999994</v>
      </c>
      <c r="R25" s="8"/>
    </row>
    <row r="26" spans="2:18">
      <c r="B26" s="470" t="s">
        <v>62</v>
      </c>
      <c r="E26" s="446">
        <f>E24/E25</f>
        <v>0.57514487849107188</v>
      </c>
      <c r="F26" s="446">
        <f t="shared" ref="F26:N26" si="9">F24/F25</f>
        <v>7.6646869761363101</v>
      </c>
      <c r="G26" s="446">
        <f t="shared" si="9"/>
        <v>9.4744874348681289</v>
      </c>
      <c r="H26" s="446">
        <f t="shared" si="9"/>
        <v>11.479673322131767</v>
      </c>
      <c r="I26" s="446">
        <f t="shared" si="9"/>
        <v>13.726153887554494</v>
      </c>
      <c r="J26" s="446">
        <f t="shared" si="9"/>
        <v>15.266583932790859</v>
      </c>
      <c r="K26" s="446">
        <f t="shared" si="9"/>
        <v>15.266583932790859</v>
      </c>
      <c r="L26" s="446">
        <f t="shared" si="9"/>
        <v>15.266583932790859</v>
      </c>
      <c r="M26" s="446">
        <f t="shared" si="9"/>
        <v>16.697301716122677</v>
      </c>
      <c r="N26" s="566">
        <f t="shared" si="9"/>
        <v>18.128019499454496</v>
      </c>
    </row>
    <row r="27" spans="2:18">
      <c r="B27" s="469" t="s">
        <v>504</v>
      </c>
      <c r="E27" s="10">
        <f>SUM(-E22,E17,E24)</f>
        <v>-781054.74396284367</v>
      </c>
      <c r="F27" s="10">
        <f t="shared" ref="F27:N27" si="10">SUM(-F22,F17,F24)</f>
        <v>4437421.5644412311</v>
      </c>
      <c r="G27" s="10">
        <f t="shared" si="10"/>
        <v>5088852.672361806</v>
      </c>
      <c r="H27" s="10">
        <f t="shared" si="10"/>
        <v>6365616.3771586567</v>
      </c>
      <c r="I27" s="10">
        <f t="shared" si="10"/>
        <v>7773989.7890876317</v>
      </c>
      <c r="J27" s="10">
        <f t="shared" si="10"/>
        <v>9596934.3004020322</v>
      </c>
      <c r="K27" s="10">
        <f t="shared" si="10"/>
        <v>11112093.980402032</v>
      </c>
      <c r="L27" s="10">
        <f t="shared" si="10"/>
        <v>11112093.980402032</v>
      </c>
      <c r="M27" s="10">
        <f t="shared" si="10"/>
        <v>10752951.154136507</v>
      </c>
      <c r="N27" s="564">
        <f t="shared" si="10"/>
        <v>11801055.547870982</v>
      </c>
    </row>
    <row r="28" spans="2:18" ht="14.1" thickBot="1">
      <c r="B28" s="567" t="s">
        <v>63</v>
      </c>
      <c r="C28" s="20"/>
      <c r="D28" s="20"/>
      <c r="E28" s="21">
        <f>((E26-1))*E25</f>
        <v>-147212.29960284356</v>
      </c>
      <c r="F28" s="21">
        <f t="shared" ref="F28:N28" si="11">((F26-1))*F25</f>
        <v>2309314.0372312311</v>
      </c>
      <c r="G28" s="21">
        <f t="shared" si="11"/>
        <v>2936409.896181806</v>
      </c>
      <c r="H28" s="21">
        <f t="shared" si="11"/>
        <v>3631206.8061186564</v>
      </c>
      <c r="I28" s="21">
        <f t="shared" si="11"/>
        <v>4409612.3220376316</v>
      </c>
      <c r="J28" s="21">
        <f t="shared" si="11"/>
        <v>4943371.3327120319</v>
      </c>
      <c r="K28" s="21">
        <f t="shared" si="11"/>
        <v>4943371.3327120319</v>
      </c>
      <c r="L28" s="21">
        <f t="shared" si="11"/>
        <v>4943371.3327120319</v>
      </c>
      <c r="M28" s="21">
        <f t="shared" si="11"/>
        <v>5439115.0446365066</v>
      </c>
      <c r="N28" s="568">
        <f t="shared" si="11"/>
        <v>5934858.7565609822</v>
      </c>
    </row>
    <row r="29" spans="2:18">
      <c r="E29" s="15">
        <v>0</v>
      </c>
      <c r="F29" s="15">
        <f>(F4-E4)/E4</f>
        <v>1.3263434745521752</v>
      </c>
      <c r="G29" s="15">
        <f t="shared" ref="G29:N29" si="12">(G4-F4)/F4</f>
        <v>0.91786598221651849</v>
      </c>
      <c r="H29" s="15">
        <f t="shared" si="12"/>
        <v>0.53025523372526528</v>
      </c>
      <c r="I29" s="15">
        <f t="shared" si="12"/>
        <v>0.38821214392803599</v>
      </c>
      <c r="J29" s="15">
        <f t="shared" si="12"/>
        <v>0.19175760302996211</v>
      </c>
      <c r="K29" s="15">
        <f t="shared" si="12"/>
        <v>0</v>
      </c>
      <c r="L29" s="15">
        <f t="shared" si="12"/>
        <v>0</v>
      </c>
      <c r="M29" s="15">
        <f t="shared" si="12"/>
        <v>0.14944337111319483</v>
      </c>
      <c r="N29" s="15">
        <f t="shared" si="12"/>
        <v>0.13001368738023542</v>
      </c>
    </row>
    <row r="30" spans="2:18">
      <c r="B30" t="s">
        <v>505</v>
      </c>
      <c r="C30" s="2">
        <f>Assumptions!B32</f>
        <v>8.6999999999999994E-2</v>
      </c>
    </row>
    <row r="31" spans="2:18">
      <c r="B31" t="s">
        <v>506</v>
      </c>
      <c r="C31" s="7">
        <f>N17/C30</f>
        <v>79620046.107011497</v>
      </c>
      <c r="D31" s="7"/>
      <c r="E31" t="s">
        <v>489</v>
      </c>
      <c r="F31" s="10">
        <f>D33*Assumptions!D16</f>
        <v>7699999.9999999991</v>
      </c>
      <c r="I31" s="18"/>
      <c r="J31" s="6"/>
      <c r="K31" s="6"/>
      <c r="L31" s="6"/>
    </row>
    <row r="32" spans="2:18">
      <c r="B32" s="70" t="s">
        <v>512</v>
      </c>
      <c r="C32" s="144">
        <v>0.03</v>
      </c>
      <c r="E32" s="70" t="s">
        <v>507</v>
      </c>
      <c r="F32" s="10">
        <f>(F31*Assumptions!D17)/12</f>
        <v>28874.999999999996</v>
      </c>
      <c r="J32" s="6"/>
      <c r="K32" s="6"/>
      <c r="L32" s="6"/>
    </row>
    <row r="33" spans="2:12">
      <c r="B33" t="s">
        <v>529</v>
      </c>
      <c r="C33" s="8">
        <f>Assumptions!D11*Assumptions!B24</f>
        <v>84500000</v>
      </c>
      <c r="D33" s="65">
        <v>11000000</v>
      </c>
      <c r="E33" s="70" t="s">
        <v>509</v>
      </c>
      <c r="F33" s="10">
        <f>F32*12</f>
        <v>346499.99999999994</v>
      </c>
      <c r="J33" s="6"/>
      <c r="K33" s="6"/>
      <c r="L33" s="6"/>
    </row>
    <row r="34" spans="2:12">
      <c r="B34" t="s">
        <v>515</v>
      </c>
      <c r="C34" s="8">
        <f>Assumptions!B24*Assumptions!B28</f>
        <v>2600000</v>
      </c>
      <c r="E34" t="s">
        <v>511</v>
      </c>
      <c r="F34" s="10">
        <f>F33</f>
        <v>346499.99999999994</v>
      </c>
      <c r="J34" s="6"/>
      <c r="K34" s="6"/>
      <c r="L34" s="6"/>
    </row>
    <row r="35" spans="2:12">
      <c r="B35" t="s">
        <v>516</v>
      </c>
      <c r="C35" s="8">
        <f>C33+C34*0.8</f>
        <v>86580000</v>
      </c>
      <c r="F35" s="6"/>
      <c r="J35" s="6"/>
      <c r="K35" s="6"/>
      <c r="L35" s="6"/>
    </row>
    <row r="36" spans="2:12">
      <c r="B36" s="70" t="s">
        <v>530</v>
      </c>
      <c r="C36" s="8">
        <f>C35*Assumptions!D4</f>
        <v>12121200.000000002</v>
      </c>
      <c r="E36" s="70"/>
      <c r="J36" s="6"/>
      <c r="K36" s="6"/>
      <c r="L36" s="6"/>
    </row>
    <row r="37" spans="2:12">
      <c r="B37" s="70" t="s">
        <v>518</v>
      </c>
      <c r="C37" s="2">
        <v>8.2000000000000007E-3</v>
      </c>
      <c r="J37" s="6"/>
      <c r="K37" s="6"/>
      <c r="L37" s="6"/>
    </row>
    <row r="38" spans="2:12">
      <c r="J38" s="6"/>
      <c r="K38" s="6"/>
      <c r="L38" s="6"/>
    </row>
    <row r="39" spans="2:12">
      <c r="B39" t="s">
        <v>519</v>
      </c>
      <c r="C39" s="15">
        <f>C36*C37</f>
        <v>99393.840000000026</v>
      </c>
      <c r="I39" s="19"/>
      <c r="J39" s="6"/>
      <c r="K39" s="6"/>
      <c r="L39" s="6"/>
    </row>
    <row r="40" spans="2:12">
      <c r="B40" t="s">
        <v>520</v>
      </c>
      <c r="C40" s="15">
        <f>C39</f>
        <v>99393.840000000026</v>
      </c>
      <c r="I40" s="19"/>
      <c r="J40" s="6"/>
      <c r="K40" s="6"/>
      <c r="L40" s="6"/>
    </row>
    <row r="41" spans="2:12">
      <c r="B41" t="s">
        <v>531</v>
      </c>
      <c r="C41" s="15">
        <f>C39+C40</f>
        <v>198787.68000000005</v>
      </c>
    </row>
  </sheetData>
  <mergeCells count="16">
    <mergeCell ref="B2:N2"/>
    <mergeCell ref="B15:D15"/>
    <mergeCell ref="B16:N16"/>
    <mergeCell ref="B17:D17"/>
    <mergeCell ref="B9:D9"/>
    <mergeCell ref="B10:D10"/>
    <mergeCell ref="B11:D11"/>
    <mergeCell ref="B12:D12"/>
    <mergeCell ref="B13:D13"/>
    <mergeCell ref="B14:D14"/>
    <mergeCell ref="B8:D8"/>
    <mergeCell ref="B3:D3"/>
    <mergeCell ref="B4:D4"/>
    <mergeCell ref="B5:D5"/>
    <mergeCell ref="B6:D6"/>
    <mergeCell ref="B7:D7"/>
  </mergeCells>
  <pageMargins left="0.7" right="0.7" top="0.75" bottom="0.75" header="0.3" footer="0.3"/>
  <pageSetup orientation="portrait" horizontalDpi="90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49ECC-54E3-0446-BFFF-F799F5DF277C}">
  <sheetPr>
    <tabColor theme="6" tint="0.79998168889431442"/>
  </sheetPr>
  <dimension ref="B1:N46"/>
  <sheetViews>
    <sheetView zoomScale="92" workbookViewId="0">
      <selection activeCell="M29" sqref="M29"/>
    </sheetView>
  </sheetViews>
  <sheetFormatPr defaultColWidth="12" defaultRowHeight="12.95"/>
  <cols>
    <col min="2" max="2" width="30" customWidth="1"/>
    <col min="3" max="3" width="17.33203125" customWidth="1"/>
    <col min="4" max="4" width="13.6640625" bestFit="1" customWidth="1"/>
    <col min="5" max="5" width="20.33203125" customWidth="1"/>
    <col min="6" max="6" width="20.6640625" customWidth="1"/>
    <col min="7" max="7" width="18.83203125" customWidth="1"/>
    <col min="8" max="8" width="19.6640625" customWidth="1"/>
    <col min="9" max="9" width="17.1640625" customWidth="1"/>
    <col min="10" max="10" width="17" customWidth="1"/>
    <col min="11" max="11" width="16.33203125" customWidth="1"/>
    <col min="12" max="12" width="17" customWidth="1"/>
    <col min="13" max="13" width="22.1640625" customWidth="1"/>
    <col min="14" max="14" width="15.83203125" customWidth="1"/>
  </cols>
  <sheetData>
    <row r="1" spans="2:14" ht="14.1" thickBot="1"/>
    <row r="2" spans="2:14" ht="18">
      <c r="B2" s="727" t="s">
        <v>532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9"/>
    </row>
    <row r="3" spans="2:14" ht="18">
      <c r="B3" s="730" t="s">
        <v>39</v>
      </c>
      <c r="C3" s="731"/>
      <c r="D3" s="731"/>
      <c r="E3" s="54">
        <v>2024</v>
      </c>
      <c r="F3" s="54">
        <v>2025</v>
      </c>
      <c r="G3" s="54">
        <v>2026</v>
      </c>
      <c r="H3" s="54">
        <v>2027</v>
      </c>
      <c r="I3" s="425">
        <v>2028</v>
      </c>
      <c r="J3" s="54">
        <v>2029</v>
      </c>
      <c r="K3" s="425">
        <v>2030</v>
      </c>
      <c r="L3" s="54">
        <v>2031</v>
      </c>
      <c r="M3" s="54">
        <v>2032</v>
      </c>
      <c r="N3" s="556">
        <v>2033</v>
      </c>
    </row>
    <row r="4" spans="2:14" ht="12.95" customHeight="1">
      <c r="B4" s="732" t="s">
        <v>40</v>
      </c>
      <c r="C4" s="733"/>
      <c r="D4" s="733"/>
      <c r="E4" s="550">
        <f>((Infra!E11*Assumptions!$D$54))*(1-Assumptions!$B$61+0.5)</f>
        <v>0</v>
      </c>
      <c r="F4" s="550">
        <f>((Infra!F11+Infra!E11)*Assumptions!$D$54)*(1-Assumptions!$B$61+0.5)</f>
        <v>0</v>
      </c>
      <c r="G4" s="550">
        <f>((Infra!G11+Infra!F11+Infra!E11)*Assumptions!$D$54)*(1-Assumptions!$B$61+0.5)</f>
        <v>0</v>
      </c>
      <c r="H4" s="550">
        <f>((Infra!H11+Infra!G11+Infra!F11+Infra!E11)*Assumptions!$D$54)*(1-Assumptions!$B$61+0.5)</f>
        <v>0</v>
      </c>
      <c r="I4" s="550">
        <f>((Infra!I11+Infra!H11+Infra!G11+Infra!F11+Infra!E11)*Assumptions!$D$54)*(1-Assumptions!$B$61+0.5)</f>
        <v>0</v>
      </c>
      <c r="J4" s="550">
        <f>((Infra!J11+Infra!I11+Infra!H11+Infra!G11+Infra!F11+Infra!E11)*Assumptions!$D$54)*(1-Assumptions!$B$61+0.5)</f>
        <v>0</v>
      </c>
      <c r="K4" s="550">
        <f>((Infra!K11+Infra!J11+Infra!I11+Infra!H11+Infra!G11+Infra!F11+Infra!E11)*Assumptions!$D$54)*(1-Assumptions!$B$61+0.5)</f>
        <v>0</v>
      </c>
      <c r="L4" s="550">
        <f>((Infra!L11+Infra!K11+Infra!J11+Infra!I11+Infra!H11+Infra!G11+Infra!F11)*Assumptions!$D$54)</f>
        <v>0</v>
      </c>
      <c r="M4" s="550">
        <f>((Infra!M11+Infra!L11+Infra!K11+Infra!J11+Infra!I11+Infra!H11+Infra!G11+Infra!F11+Infra!E11)*Assumptions!$D$54)</f>
        <v>5574855</v>
      </c>
      <c r="N4" s="577">
        <f>((Infra!N11+Infra!M11+Infra!L11+Infra!K11+Infra!J11+Infra!I11+Infra!H11+Infra!G11+Infra!F11+Infra!E11)*Assumptions!$D$54)</f>
        <v>5574855</v>
      </c>
    </row>
    <row r="5" spans="2:14">
      <c r="B5" s="725" t="s">
        <v>41</v>
      </c>
      <c r="C5" s="726"/>
      <c r="D5" s="726"/>
      <c r="E5" s="10">
        <f>-Assumptions!$B$16*'Affordable Housing NOI'!E4</f>
        <v>0</v>
      </c>
      <c r="F5" s="10">
        <f>-Assumptions!$B$16*'Affordable Housing NOI'!F4</f>
        <v>0</v>
      </c>
      <c r="G5" s="10">
        <f>-Assumptions!$B$16*'Affordable Housing NOI'!G4</f>
        <v>0</v>
      </c>
      <c r="H5" s="10">
        <f>-Assumptions!$B$16*'Affordable Housing NOI'!H4</f>
        <v>-140655.6</v>
      </c>
      <c r="I5" s="10">
        <f>-Assumptions!$B$16*'Affordable Housing NOI'!I4</f>
        <v>-140655.6</v>
      </c>
      <c r="J5" s="10">
        <f>-Assumptions!$B$16*'Affordable Housing NOI'!J4</f>
        <v>-140655.6</v>
      </c>
      <c r="K5" s="10">
        <f>-Assumptions!$B$16*'Affordable Housing NOI'!K4</f>
        <v>0</v>
      </c>
      <c r="L5" s="10">
        <f>-Assumptions!$B$16*'Affordable Housing NOI'!L4</f>
        <v>0</v>
      </c>
      <c r="M5" s="10">
        <f>-Assumptions!$B$16*'Affordable Housing NOI'!M4</f>
        <v>0</v>
      </c>
      <c r="N5" s="564">
        <f>-Assumptions!$B$16*'Affordable Housing NOI'!N4</f>
        <v>0</v>
      </c>
    </row>
    <row r="6" spans="2:14">
      <c r="B6" s="734" t="s">
        <v>42</v>
      </c>
      <c r="C6" s="735"/>
      <c r="D6" s="735"/>
      <c r="E6" s="10">
        <f>E4+E5</f>
        <v>0</v>
      </c>
      <c r="F6" s="10">
        <f t="shared" ref="F6:N6" si="0">F4+F5</f>
        <v>0</v>
      </c>
      <c r="G6" s="10">
        <f t="shared" si="0"/>
        <v>0</v>
      </c>
      <c r="H6" s="10">
        <f t="shared" si="0"/>
        <v>-140655.6</v>
      </c>
      <c r="I6" s="10">
        <f t="shared" si="0"/>
        <v>-140655.6</v>
      </c>
      <c r="J6" s="10">
        <f t="shared" si="0"/>
        <v>-140655.6</v>
      </c>
      <c r="K6" s="10">
        <f t="shared" si="0"/>
        <v>0</v>
      </c>
      <c r="L6" s="10">
        <f t="shared" si="0"/>
        <v>0</v>
      </c>
      <c r="M6" s="10">
        <f t="shared" si="0"/>
        <v>5574855</v>
      </c>
      <c r="N6" s="564">
        <f t="shared" si="0"/>
        <v>5574855</v>
      </c>
    </row>
    <row r="7" spans="2:14">
      <c r="B7" s="736" t="s">
        <v>43</v>
      </c>
      <c r="C7" s="737"/>
      <c r="D7" s="737"/>
      <c r="E7" s="555">
        <f>Assumptions!$B$12*Assumptions!$B$11</f>
        <v>0</v>
      </c>
      <c r="F7" s="555">
        <f>Assumptions!$B$12*Assumptions!$B$11</f>
        <v>0</v>
      </c>
      <c r="G7" s="555">
        <f>Assumptions!$B$12*Assumptions!$B$11</f>
        <v>0</v>
      </c>
      <c r="H7" s="555">
        <f>Assumptions!$B$12*Assumptions!$B$11</f>
        <v>0</v>
      </c>
      <c r="I7" s="555">
        <f>Assumptions!$B$12*Assumptions!$B$11</f>
        <v>0</v>
      </c>
      <c r="J7" s="555">
        <f>Assumptions!$B$12*Assumptions!$B$11</f>
        <v>0</v>
      </c>
      <c r="K7" s="555">
        <f>Assumptions!$B$12*Assumptions!$B$11</f>
        <v>0</v>
      </c>
      <c r="L7" s="555">
        <f>Assumptions!$B$12*Assumptions!$B$11</f>
        <v>0</v>
      </c>
      <c r="M7" s="555">
        <f>Assumptions!$B$12*Assumptions!$B$11</f>
        <v>0</v>
      </c>
      <c r="N7" s="578">
        <f>Assumptions!$B$12*Assumptions!$B$11</f>
        <v>0</v>
      </c>
    </row>
    <row r="8" spans="2:14">
      <c r="B8" s="736" t="s">
        <v>44</v>
      </c>
      <c r="C8" s="737"/>
      <c r="D8" s="737"/>
      <c r="E8" s="551">
        <f>E6+E7</f>
        <v>0</v>
      </c>
      <c r="F8" s="551">
        <f t="shared" ref="F8:N8" si="1">F6+F7</f>
        <v>0</v>
      </c>
      <c r="G8" s="551">
        <f t="shared" si="1"/>
        <v>0</v>
      </c>
      <c r="H8" s="551">
        <f t="shared" si="1"/>
        <v>-140655.6</v>
      </c>
      <c r="I8" s="551">
        <f t="shared" si="1"/>
        <v>-140655.6</v>
      </c>
      <c r="J8" s="551">
        <f t="shared" si="1"/>
        <v>-140655.6</v>
      </c>
      <c r="K8" s="551">
        <f t="shared" si="1"/>
        <v>0</v>
      </c>
      <c r="L8" s="551">
        <f t="shared" si="1"/>
        <v>0</v>
      </c>
      <c r="M8" s="551">
        <f t="shared" si="1"/>
        <v>5574855</v>
      </c>
      <c r="N8" s="579">
        <f t="shared" si="1"/>
        <v>5574855</v>
      </c>
    </row>
    <row r="9" spans="2:14">
      <c r="B9" s="738" t="s">
        <v>45</v>
      </c>
      <c r="C9" s="739"/>
      <c r="D9" s="739"/>
      <c r="E9" s="1"/>
      <c r="F9" s="3"/>
      <c r="G9" s="4"/>
      <c r="H9" s="5"/>
      <c r="I9" s="5"/>
      <c r="J9" s="4"/>
      <c r="K9" s="5"/>
      <c r="L9" s="5"/>
      <c r="M9" s="5"/>
      <c r="N9" s="558"/>
    </row>
    <row r="10" spans="2:14">
      <c r="B10" s="725" t="s">
        <v>46</v>
      </c>
      <c r="C10" s="726"/>
      <c r="D10" s="726"/>
      <c r="E10" s="16">
        <f>-Assumptions!$D$9*Assumptions!$D$51</f>
        <v>-4088227</v>
      </c>
      <c r="F10" s="16">
        <f>-Assumptions!$D$9*Assumptions!$D$51</f>
        <v>-4088227</v>
      </c>
      <c r="G10" s="16">
        <f>-Assumptions!$D$9*Assumptions!$D$51</f>
        <v>-4088227</v>
      </c>
      <c r="H10" s="16">
        <f>-Assumptions!$D$9*Assumptions!$D$51</f>
        <v>-4088227</v>
      </c>
      <c r="I10" s="16">
        <f>-Assumptions!$D$9*Assumptions!$D$51</f>
        <v>-4088227</v>
      </c>
      <c r="J10" s="16">
        <f>-Assumptions!$D$9*Assumptions!$D$51</f>
        <v>-4088227</v>
      </c>
      <c r="K10" s="16">
        <f>-Assumptions!$D$9*Assumptions!$D$51</f>
        <v>-4088227</v>
      </c>
      <c r="L10" s="16">
        <f>-Assumptions!$D$9*Assumptions!$D$51</f>
        <v>-4088227</v>
      </c>
      <c r="M10" s="16">
        <f>-Assumptions!$D$9*Assumptions!$D$51</f>
        <v>-4088227</v>
      </c>
      <c r="N10" s="557">
        <f>-Assumptions!$D$9*Assumptions!$D$51</f>
        <v>-4088227</v>
      </c>
    </row>
    <row r="11" spans="2:14">
      <c r="B11" s="725" t="s">
        <v>47</v>
      </c>
      <c r="C11" s="726"/>
      <c r="D11" s="726"/>
      <c r="E11" s="16">
        <f t="shared" ref="E11:N11" si="2">-$C$46</f>
        <v>-221864.36272000003</v>
      </c>
      <c r="F11" s="16">
        <f t="shared" si="2"/>
        <v>-221864.36272000003</v>
      </c>
      <c r="G11" s="16">
        <f t="shared" si="2"/>
        <v>-221864.36272000003</v>
      </c>
      <c r="H11" s="16">
        <f t="shared" si="2"/>
        <v>-221864.36272000003</v>
      </c>
      <c r="I11" s="16">
        <f t="shared" si="2"/>
        <v>-221864.36272000003</v>
      </c>
      <c r="J11" s="16">
        <f t="shared" si="2"/>
        <v>-221864.36272000003</v>
      </c>
      <c r="K11" s="16">
        <f t="shared" si="2"/>
        <v>-221864.36272000003</v>
      </c>
      <c r="L11" s="16">
        <f t="shared" si="2"/>
        <v>-221864.36272000003</v>
      </c>
      <c r="M11" s="16">
        <f t="shared" si="2"/>
        <v>-221864.36272000003</v>
      </c>
      <c r="N11" s="557">
        <f t="shared" si="2"/>
        <v>-221864.36272000003</v>
      </c>
    </row>
    <row r="12" spans="2:14">
      <c r="B12" s="725" t="s">
        <v>48</v>
      </c>
      <c r="C12" s="726"/>
      <c r="D12" s="726"/>
      <c r="E12" s="10">
        <f>-E6*Assumptions!D6</f>
        <v>0</v>
      </c>
      <c r="F12" s="10">
        <f t="shared" ref="F12:N12" si="3">-F8*0.04</f>
        <v>0</v>
      </c>
      <c r="G12" s="10">
        <f t="shared" si="3"/>
        <v>0</v>
      </c>
      <c r="H12" s="10">
        <f t="shared" si="3"/>
        <v>5626.2240000000002</v>
      </c>
      <c r="I12" s="10">
        <f t="shared" si="3"/>
        <v>5626.2240000000002</v>
      </c>
      <c r="J12" s="10">
        <f t="shared" si="3"/>
        <v>5626.2240000000002</v>
      </c>
      <c r="K12" s="10">
        <f t="shared" si="3"/>
        <v>0</v>
      </c>
      <c r="L12" s="10">
        <f t="shared" si="3"/>
        <v>0</v>
      </c>
      <c r="M12" s="10">
        <f t="shared" si="3"/>
        <v>-222994.2</v>
      </c>
      <c r="N12" s="564">
        <f t="shared" si="3"/>
        <v>-222994.2</v>
      </c>
    </row>
    <row r="13" spans="2:14">
      <c r="B13" s="725" t="s">
        <v>49</v>
      </c>
      <c r="C13" s="726"/>
      <c r="D13" s="726"/>
      <c r="E13" s="16">
        <f>-$D$38*Assumptions!$D$10</f>
        <v>-825000</v>
      </c>
      <c r="F13" s="16">
        <f>-$D$38*Assumptions!$D$10</f>
        <v>-825000</v>
      </c>
      <c r="G13" s="16">
        <f>-$D$38*Assumptions!$D$10</f>
        <v>-825000</v>
      </c>
      <c r="H13" s="16">
        <f>-$D$38*Assumptions!$D$10</f>
        <v>-825000</v>
      </c>
      <c r="I13" s="16">
        <f>-$D$38*Assumptions!$D$10</f>
        <v>-825000</v>
      </c>
      <c r="J13" s="16">
        <f>-$D$38*Assumptions!$D$10</f>
        <v>-825000</v>
      </c>
      <c r="K13" s="16">
        <f>-$D$38*Assumptions!$D$10</f>
        <v>-825000</v>
      </c>
      <c r="L13" s="16">
        <f>-$D$38*Assumptions!$D$10</f>
        <v>-825000</v>
      </c>
      <c r="M13" s="16">
        <f>-$D$38*Assumptions!$D$10</f>
        <v>-825000</v>
      </c>
      <c r="N13" s="557">
        <f>-$D$38*Assumptions!$D$10</f>
        <v>-825000</v>
      </c>
    </row>
    <row r="14" spans="2:14">
      <c r="B14" s="725" t="s">
        <v>498</v>
      </c>
      <c r="C14" s="726"/>
      <c r="D14" s="726"/>
      <c r="E14" s="10">
        <f>-E6*Assumptions!$B$20</f>
        <v>0</v>
      </c>
      <c r="F14" s="10">
        <f>-F6*Assumptions!$B$20</f>
        <v>0</v>
      </c>
      <c r="G14" s="10">
        <f>-G6*Assumptions!$B$20</f>
        <v>0</v>
      </c>
      <c r="H14" s="10">
        <f>-H6*Assumptions!$B$20</f>
        <v>4219.6679999999997</v>
      </c>
      <c r="I14" s="10">
        <f>-I6*Assumptions!$B$20</f>
        <v>4219.6679999999997</v>
      </c>
      <c r="J14" s="10">
        <f>-J6*Assumptions!$B$20</f>
        <v>4219.6679999999997</v>
      </c>
      <c r="K14" s="10">
        <f>-K6*Assumptions!$B$20</f>
        <v>0</v>
      </c>
      <c r="L14" s="10">
        <f>-L6*Assumptions!$B$20</f>
        <v>0</v>
      </c>
      <c r="M14" s="10">
        <f>-M6*Assumptions!$B$20</f>
        <v>-167245.65</v>
      </c>
      <c r="N14" s="564">
        <f>-N6*Assumptions!$B$20</f>
        <v>-167245.65</v>
      </c>
    </row>
    <row r="15" spans="2:14">
      <c r="B15" s="742" t="s">
        <v>51</v>
      </c>
      <c r="C15" s="743"/>
      <c r="D15" s="743"/>
      <c r="E15" s="12">
        <f>E10+E12+E14+E11+E13</f>
        <v>-5135091.3627199996</v>
      </c>
      <c r="F15" s="12">
        <f t="shared" ref="F15:N15" si="4">F10+F12+F14+F11+F13</f>
        <v>-5135091.3627199996</v>
      </c>
      <c r="G15" s="12">
        <f t="shared" si="4"/>
        <v>-5135091.3627199996</v>
      </c>
      <c r="H15" s="12">
        <f t="shared" si="4"/>
        <v>-5125245.4707199996</v>
      </c>
      <c r="I15" s="12">
        <f t="shared" si="4"/>
        <v>-5125245.4707199996</v>
      </c>
      <c r="J15" s="12">
        <f t="shared" si="4"/>
        <v>-5125245.4707199996</v>
      </c>
      <c r="K15" s="12">
        <f t="shared" si="4"/>
        <v>-5135091.3627199996</v>
      </c>
      <c r="L15" s="12">
        <f t="shared" si="4"/>
        <v>-5135091.3627199996</v>
      </c>
      <c r="M15" s="12">
        <f t="shared" si="4"/>
        <v>-5525331.2127200002</v>
      </c>
      <c r="N15" s="565">
        <f t="shared" si="4"/>
        <v>-5525331.2127200002</v>
      </c>
    </row>
    <row r="16" spans="2:14">
      <c r="B16" s="580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574"/>
    </row>
    <row r="17" spans="2:14">
      <c r="B17" s="736" t="s">
        <v>52</v>
      </c>
      <c r="C17" s="737"/>
      <c r="D17" s="737"/>
      <c r="E17" s="550">
        <f>E8+E15</f>
        <v>-5135091.3627199996</v>
      </c>
      <c r="F17" s="550">
        <f t="shared" ref="F17:N17" si="5">F8+F15</f>
        <v>-5135091.3627199996</v>
      </c>
      <c r="G17" s="550">
        <f t="shared" si="5"/>
        <v>-5135091.3627199996</v>
      </c>
      <c r="H17" s="550">
        <f t="shared" si="5"/>
        <v>-5265901.0707199993</v>
      </c>
      <c r="I17" s="550">
        <f t="shared" si="5"/>
        <v>-5265901.0707199993</v>
      </c>
      <c r="J17" s="550">
        <f t="shared" si="5"/>
        <v>-5265901.0707199993</v>
      </c>
      <c r="K17" s="550">
        <f t="shared" si="5"/>
        <v>-5135091.3627199996</v>
      </c>
      <c r="L17" s="550">
        <f t="shared" si="5"/>
        <v>-5135091.3627199996</v>
      </c>
      <c r="M17" s="550">
        <f t="shared" si="5"/>
        <v>49523.787279999815</v>
      </c>
      <c r="N17" s="577">
        <f t="shared" si="5"/>
        <v>49523.787279999815</v>
      </c>
    </row>
    <row r="18" spans="2:14">
      <c r="B18" s="744" t="s">
        <v>53</v>
      </c>
      <c r="C18" s="745"/>
      <c r="D18" s="745"/>
      <c r="E18" s="10">
        <f>-$F$34</f>
        <v>-1039500</v>
      </c>
      <c r="F18" s="10">
        <f t="shared" ref="F18:N18" si="6">-$F$34</f>
        <v>-1039500</v>
      </c>
      <c r="G18" s="10">
        <f t="shared" si="6"/>
        <v>-1039500</v>
      </c>
      <c r="H18" s="10">
        <f t="shared" si="6"/>
        <v>-1039500</v>
      </c>
      <c r="I18" s="10">
        <f t="shared" si="6"/>
        <v>-1039500</v>
      </c>
      <c r="J18" s="10">
        <f t="shared" si="6"/>
        <v>-1039500</v>
      </c>
      <c r="K18" s="10">
        <f t="shared" si="6"/>
        <v>-1039500</v>
      </c>
      <c r="L18" s="10">
        <f t="shared" si="6"/>
        <v>-1039500</v>
      </c>
      <c r="M18" s="10">
        <f t="shared" si="6"/>
        <v>-1039500</v>
      </c>
      <c r="N18" s="564">
        <f t="shared" si="6"/>
        <v>-1039500</v>
      </c>
    </row>
    <row r="19" spans="2:14">
      <c r="B19" s="746" t="s">
        <v>499</v>
      </c>
      <c r="C19" s="747"/>
      <c r="D19" s="747"/>
      <c r="E19" s="15">
        <f>-$D$38/Assumptions!$D$7</f>
        <v>-846153.84615384613</v>
      </c>
      <c r="F19" s="15">
        <f>-$D$38/Assumptions!$D$7</f>
        <v>-846153.84615384613</v>
      </c>
      <c r="G19" s="15">
        <f>-$D$38/Assumptions!$D$7</f>
        <v>-846153.84615384613</v>
      </c>
      <c r="H19" s="15">
        <f>-$D$38/Assumptions!$D$7</f>
        <v>-846153.84615384613</v>
      </c>
      <c r="I19" s="15">
        <f>-$D$38/Assumptions!$D$7</f>
        <v>-846153.84615384613</v>
      </c>
      <c r="J19" s="15">
        <f>-$D$38/Assumptions!$D$7</f>
        <v>-846153.84615384613</v>
      </c>
      <c r="K19" s="15">
        <f>-$D$38/Assumptions!$D$7</f>
        <v>-846153.84615384613</v>
      </c>
      <c r="L19" s="15">
        <f>-$D$38/Assumptions!$D$7</f>
        <v>-846153.84615384613</v>
      </c>
      <c r="M19" s="15">
        <f>-$D$38/Assumptions!$D$7</f>
        <v>-846153.84615384613</v>
      </c>
      <c r="N19" s="576">
        <f>-$D$38/Assumptions!$D$7</f>
        <v>-846153.84615384613</v>
      </c>
    </row>
    <row r="20" spans="2:14">
      <c r="B20" s="470" t="s">
        <v>500</v>
      </c>
      <c r="E20" s="15">
        <f>-C39/Assumptions!D8</f>
        <v>-3401500</v>
      </c>
      <c r="F20" s="15"/>
      <c r="G20" s="15"/>
      <c r="H20" s="15"/>
      <c r="I20" s="15"/>
      <c r="J20" s="15"/>
      <c r="K20" s="15"/>
      <c r="L20" s="15"/>
      <c r="M20" s="15"/>
      <c r="N20" s="576"/>
    </row>
    <row r="21" spans="2:14">
      <c r="B21" s="746" t="s">
        <v>56</v>
      </c>
      <c r="C21" s="747"/>
      <c r="D21" s="747"/>
      <c r="E21" s="10">
        <f>E17+E18+E19+E20</f>
        <v>-10422245.208873846</v>
      </c>
      <c r="F21" s="10">
        <f t="shared" ref="F21:N21" si="7">F17+F18+F19+F20</f>
        <v>-7020745.2088738456</v>
      </c>
      <c r="G21" s="10">
        <f t="shared" si="7"/>
        <v>-7020745.2088738456</v>
      </c>
      <c r="H21" s="10">
        <f t="shared" si="7"/>
        <v>-7151554.9168738453</v>
      </c>
      <c r="I21" s="10">
        <f t="shared" si="7"/>
        <v>-7151554.9168738453</v>
      </c>
      <c r="J21" s="10">
        <f t="shared" si="7"/>
        <v>-7151554.9168738453</v>
      </c>
      <c r="K21" s="10">
        <f t="shared" si="7"/>
        <v>-7020745.2088738456</v>
      </c>
      <c r="L21" s="10">
        <f t="shared" si="7"/>
        <v>-7020745.2088738456</v>
      </c>
      <c r="M21" s="10">
        <f t="shared" si="7"/>
        <v>-1836130.0588738462</v>
      </c>
      <c r="N21" s="564">
        <f t="shared" si="7"/>
        <v>-1836130.0588738462</v>
      </c>
    </row>
    <row r="22" spans="2:14">
      <c r="B22" s="748" t="s">
        <v>310</v>
      </c>
      <c r="C22" s="747"/>
      <c r="D22" s="747"/>
      <c r="E22" s="10">
        <f>Infra!E11*Infra!$I$81</f>
        <v>0</v>
      </c>
      <c r="F22" s="10">
        <f>Infra!F11*Infra!$I$81</f>
        <v>0</v>
      </c>
      <c r="G22" s="10">
        <f>Infra!G11*Infra!$I$81</f>
        <v>0</v>
      </c>
      <c r="H22" s="10">
        <f>Infra!H11*Infra!$I$81</f>
        <v>0</v>
      </c>
      <c r="I22" s="10">
        <f>Infra!I11*Infra!$I$81</f>
        <v>0</v>
      </c>
      <c r="J22" s="10">
        <f>Infra!J11*Infra!$I$81</f>
        <v>0</v>
      </c>
      <c r="K22" s="10">
        <f>Infra!K11*Infra!$I$81</f>
        <v>0</v>
      </c>
      <c r="L22" s="10">
        <f>Infra!L11*Infra!$I$81</f>
        <v>0</v>
      </c>
      <c r="M22" s="10">
        <f>Infra!M11*Infra!$I$81</f>
        <v>5574855</v>
      </c>
      <c r="N22" s="564">
        <f>Infra!N11*Infra!$I$81</f>
        <v>0</v>
      </c>
    </row>
    <row r="23" spans="2:14">
      <c r="B23" s="746" t="s">
        <v>288</v>
      </c>
      <c r="C23" s="747"/>
      <c r="D23" s="747"/>
      <c r="E23" s="10">
        <f>E21*Assumptions!$D$24</f>
        <v>-1068280.1339095691</v>
      </c>
      <c r="F23" s="10">
        <f>F21*Assumptions!$D$24</f>
        <v>-719626.38390956912</v>
      </c>
      <c r="G23" s="10">
        <f>G21*Assumptions!$D$24</f>
        <v>-719626.38390956912</v>
      </c>
      <c r="H23" s="10">
        <f>H21*Assumptions!$D$24</f>
        <v>-733034.37897956907</v>
      </c>
      <c r="I23" s="10">
        <f>I21*Assumptions!$D$24</f>
        <v>-733034.37897956907</v>
      </c>
      <c r="J23" s="10">
        <f>J21*Assumptions!$D$24</f>
        <v>-733034.37897956907</v>
      </c>
      <c r="K23" s="10">
        <f>K21*Assumptions!$D$24</f>
        <v>-719626.38390956912</v>
      </c>
      <c r="L23" s="10">
        <f>L21*Assumptions!$D$24</f>
        <v>-719626.38390956912</v>
      </c>
      <c r="M23" s="10">
        <f>M21*Assumptions!$D$24</f>
        <v>-188203.33103456922</v>
      </c>
      <c r="N23" s="564">
        <f>N21*Assumptions!$D$24</f>
        <v>-188203.33103456922</v>
      </c>
    </row>
    <row r="24" spans="2:14">
      <c r="B24" s="746" t="s">
        <v>59</v>
      </c>
      <c r="C24" s="747"/>
      <c r="D24" s="747"/>
      <c r="E24" s="10">
        <f>E17-E23</f>
        <v>-4066811.2288104305</v>
      </c>
      <c r="F24" s="10">
        <f t="shared" ref="F24:N24" si="8">F17-F23</f>
        <v>-4415464.9788104305</v>
      </c>
      <c r="G24" s="10">
        <f t="shared" si="8"/>
        <v>-4415464.9788104305</v>
      </c>
      <c r="H24" s="10">
        <f t="shared" si="8"/>
        <v>-4532866.69174043</v>
      </c>
      <c r="I24" s="10">
        <f t="shared" si="8"/>
        <v>-4532866.69174043</v>
      </c>
      <c r="J24" s="10">
        <f t="shared" si="8"/>
        <v>-4532866.69174043</v>
      </c>
      <c r="K24" s="10">
        <f t="shared" si="8"/>
        <v>-4415464.9788104305</v>
      </c>
      <c r="L24" s="10">
        <f t="shared" si="8"/>
        <v>-4415464.9788104305</v>
      </c>
      <c r="M24" s="10">
        <f t="shared" si="8"/>
        <v>237727.11831456903</v>
      </c>
      <c r="N24" s="564">
        <f t="shared" si="8"/>
        <v>237727.11831456903</v>
      </c>
    </row>
    <row r="25" spans="2:14">
      <c r="B25" s="746" t="s">
        <v>502</v>
      </c>
      <c r="C25" s="747"/>
      <c r="D25" s="747"/>
      <c r="E25" s="10">
        <f>$F$34</f>
        <v>1039500</v>
      </c>
      <c r="F25" s="10">
        <f t="shared" ref="F25:N25" si="9">$F$34</f>
        <v>1039500</v>
      </c>
      <c r="G25" s="10">
        <f t="shared" si="9"/>
        <v>1039500</v>
      </c>
      <c r="H25" s="10">
        <f t="shared" si="9"/>
        <v>1039500</v>
      </c>
      <c r="I25" s="10">
        <f t="shared" si="9"/>
        <v>1039500</v>
      </c>
      <c r="J25" s="10">
        <f t="shared" si="9"/>
        <v>1039500</v>
      </c>
      <c r="K25" s="10">
        <f t="shared" si="9"/>
        <v>1039500</v>
      </c>
      <c r="L25" s="10">
        <f t="shared" si="9"/>
        <v>1039500</v>
      </c>
      <c r="M25" s="10">
        <f t="shared" si="9"/>
        <v>1039500</v>
      </c>
      <c r="N25" s="564">
        <f t="shared" si="9"/>
        <v>1039500</v>
      </c>
    </row>
    <row r="26" spans="2:14">
      <c r="B26" s="749" t="s">
        <v>62</v>
      </c>
      <c r="C26" s="750"/>
      <c r="D26" s="750"/>
      <c r="E26" s="446">
        <f>E24/E25</f>
        <v>-3.9122763143919483</v>
      </c>
      <c r="F26" s="446">
        <f t="shared" ref="F26:N26" si="10">F24/F25</f>
        <v>-4.2476815572971915</v>
      </c>
      <c r="G26" s="446">
        <f t="shared" si="10"/>
        <v>-4.2476815572971915</v>
      </c>
      <c r="H26" s="446">
        <f t="shared" si="10"/>
        <v>-4.360622118076412</v>
      </c>
      <c r="I26" s="446">
        <f t="shared" si="10"/>
        <v>-4.360622118076412</v>
      </c>
      <c r="J26" s="446">
        <f t="shared" si="10"/>
        <v>-4.360622118076412</v>
      </c>
      <c r="K26" s="446">
        <f t="shared" si="10"/>
        <v>-4.2476815572971915</v>
      </c>
      <c r="L26" s="446">
        <f t="shared" si="10"/>
        <v>-4.2476815572971915</v>
      </c>
      <c r="M26" s="446">
        <f t="shared" si="10"/>
        <v>0.22869371651233192</v>
      </c>
      <c r="N26" s="566">
        <f t="shared" si="10"/>
        <v>0.22869371651233192</v>
      </c>
    </row>
    <row r="27" spans="2:14">
      <c r="B27" s="469" t="s">
        <v>504</v>
      </c>
      <c r="E27" s="10">
        <f>SUM(-E22,E17,E23)</f>
        <v>-6203371.4966295687</v>
      </c>
      <c r="F27" s="10">
        <f t="shared" ref="F27:N27" si="11">SUM(-F22,F17,F23)</f>
        <v>-5854717.7466295687</v>
      </c>
      <c r="G27" s="10">
        <f t="shared" si="11"/>
        <v>-5854717.7466295687</v>
      </c>
      <c r="H27" s="10">
        <f t="shared" si="11"/>
        <v>-5998935.4496995686</v>
      </c>
      <c r="I27" s="10">
        <f t="shared" si="11"/>
        <v>-5998935.4496995686</v>
      </c>
      <c r="J27" s="10">
        <f t="shared" si="11"/>
        <v>-5998935.4496995686</v>
      </c>
      <c r="K27" s="10">
        <f t="shared" si="11"/>
        <v>-5854717.7466295687</v>
      </c>
      <c r="L27" s="10">
        <f t="shared" si="11"/>
        <v>-5854717.7466295687</v>
      </c>
      <c r="M27" s="10">
        <f t="shared" si="11"/>
        <v>-5713534.5437545693</v>
      </c>
      <c r="N27" s="564">
        <f t="shared" si="11"/>
        <v>-138679.5437545694</v>
      </c>
    </row>
    <row r="28" spans="2:14" ht="14.1" thickBot="1">
      <c r="B28" s="740" t="s">
        <v>63</v>
      </c>
      <c r="C28" s="741"/>
      <c r="D28" s="741"/>
      <c r="E28" s="21">
        <f>((E26-1))*E25</f>
        <v>-5106311.2288104305</v>
      </c>
      <c r="F28" s="21">
        <f t="shared" ref="F28:N28" si="12">((F26-1))*F25</f>
        <v>-5454964.9788104305</v>
      </c>
      <c r="G28" s="21">
        <f t="shared" si="12"/>
        <v>-5454964.9788104305</v>
      </c>
      <c r="H28" s="21">
        <f t="shared" si="12"/>
        <v>-5572366.69174043</v>
      </c>
      <c r="I28" s="21">
        <f t="shared" si="12"/>
        <v>-5572366.69174043</v>
      </c>
      <c r="J28" s="21">
        <f t="shared" si="12"/>
        <v>-5572366.69174043</v>
      </c>
      <c r="K28" s="21">
        <f t="shared" si="12"/>
        <v>-5454964.9788104305</v>
      </c>
      <c r="L28" s="21">
        <f t="shared" si="12"/>
        <v>-5454964.9788104305</v>
      </c>
      <c r="M28" s="21">
        <f t="shared" si="12"/>
        <v>-801772.881685431</v>
      </c>
      <c r="N28" s="568">
        <f t="shared" si="12"/>
        <v>-801772.881685431</v>
      </c>
    </row>
    <row r="29" spans="2:14"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f t="shared" ref="G29:N29" si="13">(N4-M4)/M4</f>
        <v>0</v>
      </c>
    </row>
    <row r="30" spans="2:14">
      <c r="B30" t="s">
        <v>505</v>
      </c>
      <c r="C30" s="14">
        <f>Assumptions!D62</f>
        <v>5.7500000000000002E-2</v>
      </c>
    </row>
    <row r="31" spans="2:14">
      <c r="B31" t="s">
        <v>506</v>
      </c>
      <c r="C31" s="7">
        <f>N17/C30</f>
        <v>861283.25704347505</v>
      </c>
      <c r="D31" s="7"/>
      <c r="E31" t="s">
        <v>489</v>
      </c>
      <c r="F31" s="10">
        <f>D38*Assumptions!D16</f>
        <v>23100000</v>
      </c>
      <c r="I31" s="18"/>
      <c r="J31" s="6"/>
      <c r="K31" s="6"/>
      <c r="L31" s="6"/>
    </row>
    <row r="32" spans="2:14">
      <c r="C32" s="7"/>
      <c r="E32" s="70" t="s">
        <v>507</v>
      </c>
      <c r="F32" s="10">
        <f>(F31*Assumptions!D17)/12</f>
        <v>86625</v>
      </c>
      <c r="J32" s="6"/>
      <c r="K32" s="6"/>
      <c r="L32" s="6"/>
    </row>
    <row r="33" spans="2:12">
      <c r="B33" t="s">
        <v>508</v>
      </c>
      <c r="C33" s="7">
        <v>350000</v>
      </c>
      <c r="E33" s="70" t="s">
        <v>509</v>
      </c>
      <c r="F33" s="10">
        <f>F32*12</f>
        <v>1039500</v>
      </c>
      <c r="J33" s="6"/>
      <c r="K33" s="6"/>
      <c r="L33" s="6"/>
    </row>
    <row r="34" spans="2:12">
      <c r="B34" t="s">
        <v>510</v>
      </c>
      <c r="C34" s="7">
        <f>C33*Assumptions!B10</f>
        <v>238104999.99999997</v>
      </c>
      <c r="E34" t="s">
        <v>511</v>
      </c>
      <c r="F34" s="10">
        <f>F33</f>
        <v>1039500</v>
      </c>
      <c r="J34" s="6"/>
      <c r="K34" s="6"/>
      <c r="L34" s="6"/>
    </row>
    <row r="35" spans="2:12">
      <c r="B35" s="70" t="s">
        <v>512</v>
      </c>
      <c r="C35" s="144">
        <v>0.03</v>
      </c>
      <c r="F35" s="6"/>
      <c r="J35" s="6"/>
      <c r="K35" s="6"/>
      <c r="L35" s="6"/>
    </row>
    <row r="36" spans="2:12">
      <c r="B36" t="s">
        <v>513</v>
      </c>
      <c r="C36" s="7">
        <f>(C31+C34)/2</f>
        <v>119483141.62852173</v>
      </c>
      <c r="E36" s="70"/>
      <c r="J36" s="6"/>
      <c r="K36" s="6"/>
      <c r="L36" s="6"/>
    </row>
    <row r="37" spans="2:12">
      <c r="C37" s="7"/>
      <c r="J37" s="6"/>
      <c r="K37" s="6"/>
      <c r="L37" s="6"/>
    </row>
    <row r="38" spans="2:12">
      <c r="B38" t="s">
        <v>514</v>
      </c>
      <c r="C38" s="8">
        <f>Assumptions!D11*Assumptions!D51</f>
        <v>120788525</v>
      </c>
      <c r="D38" s="65">
        <v>33000000</v>
      </c>
      <c r="J38" s="6"/>
      <c r="K38" s="6"/>
      <c r="L38" s="6"/>
    </row>
    <row r="39" spans="2:12">
      <c r="B39" t="s">
        <v>515</v>
      </c>
      <c r="C39" s="15">
        <f>Assumptions!B13*Assumptions!B10</f>
        <v>3401500</v>
      </c>
      <c r="I39" s="19"/>
      <c r="J39" s="6"/>
      <c r="K39" s="6"/>
      <c r="L39" s="6"/>
    </row>
    <row r="40" spans="2:12">
      <c r="B40" t="s">
        <v>516</v>
      </c>
      <c r="C40" s="8">
        <f>C38*0.8</f>
        <v>96630820</v>
      </c>
      <c r="I40" s="19"/>
      <c r="J40" s="6"/>
      <c r="K40" s="6"/>
      <c r="L40" s="6"/>
    </row>
    <row r="41" spans="2:12">
      <c r="B41" s="70" t="s">
        <v>517</v>
      </c>
      <c r="C41" s="8">
        <f>C40*Assumptions!D4</f>
        <v>13528314.800000001</v>
      </c>
    </row>
    <row r="42" spans="2:12">
      <c r="B42" s="70" t="s">
        <v>518</v>
      </c>
      <c r="C42" s="2">
        <v>8.2000000000000007E-3</v>
      </c>
    </row>
    <row r="44" spans="2:12">
      <c r="B44" t="s">
        <v>519</v>
      </c>
      <c r="C44" s="15">
        <f>C41*C42</f>
        <v>110932.18136000002</v>
      </c>
    </row>
    <row r="45" spans="2:12">
      <c r="B45" t="s">
        <v>520</v>
      </c>
      <c r="C45" s="15">
        <f>C44</f>
        <v>110932.18136000002</v>
      </c>
    </row>
    <row r="46" spans="2:12">
      <c r="B46" t="s">
        <v>521</v>
      </c>
      <c r="C46" s="15">
        <f>C44+C45</f>
        <v>221864.36272000003</v>
      </c>
    </row>
  </sheetData>
  <mergeCells count="24">
    <mergeCell ref="B28:D28"/>
    <mergeCell ref="B14:D14"/>
    <mergeCell ref="B15:D15"/>
    <mergeCell ref="B17:D17"/>
    <mergeCell ref="B18:D18"/>
    <mergeCell ref="B19:D19"/>
    <mergeCell ref="B21:D21"/>
    <mergeCell ref="B22:D22"/>
    <mergeCell ref="B23:D23"/>
    <mergeCell ref="B24:D24"/>
    <mergeCell ref="B25:D25"/>
    <mergeCell ref="B26:D26"/>
    <mergeCell ref="B13:D13"/>
    <mergeCell ref="B2:N2"/>
    <mergeCell ref="B3:D3"/>
    <mergeCell ref="B4:D4"/>
    <mergeCell ref="B5:D5"/>
    <mergeCell ref="B6:D6"/>
    <mergeCell ref="B7:D7"/>
    <mergeCell ref="B8:D8"/>
    <mergeCell ref="B9:D9"/>
    <mergeCell ref="B10:D10"/>
    <mergeCell ref="B11:D11"/>
    <mergeCell ref="B12:D1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17866-436B-8C46-B746-E9F7830CB899}">
  <sheetPr>
    <tabColor theme="6" tint="0.79998168889431442"/>
  </sheetPr>
  <dimension ref="B1:AH53"/>
  <sheetViews>
    <sheetView topLeftCell="A5" zoomScale="92" workbookViewId="0">
      <selection activeCell="Q47" sqref="Q47"/>
    </sheetView>
  </sheetViews>
  <sheetFormatPr defaultColWidth="9" defaultRowHeight="12.95"/>
  <cols>
    <col min="2" max="2" width="31.83203125" customWidth="1"/>
    <col min="3" max="3" width="26" customWidth="1"/>
    <col min="4" max="4" width="15.33203125" bestFit="1" customWidth="1"/>
    <col min="5" max="5" width="17.1640625" customWidth="1"/>
    <col min="6" max="6" width="20.6640625" customWidth="1"/>
    <col min="7" max="14" width="15.83203125" bestFit="1" customWidth="1"/>
    <col min="15" max="15" width="16.1640625" customWidth="1"/>
    <col min="16" max="16" width="17" customWidth="1"/>
    <col min="17" max="17" width="18.33203125" customWidth="1"/>
    <col min="18" max="18" width="17.33203125" customWidth="1"/>
    <col min="19" max="19" width="17.83203125" customWidth="1"/>
    <col min="20" max="20" width="17.1640625" customWidth="1"/>
    <col min="21" max="21" width="17.83203125" customWidth="1"/>
    <col min="22" max="22" width="18.83203125" customWidth="1"/>
    <col min="23" max="23" width="19.33203125" customWidth="1"/>
    <col min="24" max="24" width="21" customWidth="1"/>
    <col min="25" max="25" width="17" customWidth="1"/>
    <col min="26" max="26" width="18.1640625" customWidth="1"/>
    <col min="27" max="27" width="19" customWidth="1"/>
    <col min="28" max="28" width="19.33203125" customWidth="1"/>
    <col min="29" max="30" width="17.1640625" customWidth="1"/>
    <col min="31" max="31" width="16.33203125" customWidth="1"/>
    <col min="32" max="32" width="19.33203125" customWidth="1"/>
    <col min="33" max="33" width="18.6640625" customWidth="1"/>
    <col min="34" max="34" width="16.6640625" customWidth="1"/>
  </cols>
  <sheetData>
    <row r="1" spans="2:34" ht="14.1" thickBot="1"/>
    <row r="2" spans="2:34" ht="18">
      <c r="B2" s="727" t="s">
        <v>533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8"/>
      <c r="O2" s="571"/>
      <c r="P2" s="571"/>
      <c r="Q2" s="571"/>
      <c r="R2" s="571"/>
      <c r="S2" s="571"/>
      <c r="T2" s="571"/>
      <c r="U2" s="571"/>
      <c r="V2" s="571"/>
      <c r="W2" s="571"/>
      <c r="X2" s="571"/>
      <c r="Y2" s="571"/>
      <c r="Z2" s="571"/>
      <c r="AA2" s="571"/>
      <c r="AB2" s="571"/>
      <c r="AC2" s="571"/>
      <c r="AD2" s="571"/>
      <c r="AE2" s="571"/>
      <c r="AF2" s="571"/>
      <c r="AG2" s="571"/>
      <c r="AH2" s="572"/>
    </row>
    <row r="3" spans="2:34" ht="18">
      <c r="B3" s="730" t="s">
        <v>39</v>
      </c>
      <c r="C3" s="731"/>
      <c r="D3" s="731"/>
      <c r="E3" s="54">
        <v>2024</v>
      </c>
      <c r="F3" s="54">
        <v>2025</v>
      </c>
      <c r="G3" s="54">
        <v>2026</v>
      </c>
      <c r="H3" s="54">
        <v>2027</v>
      </c>
      <c r="I3" s="425">
        <v>2028</v>
      </c>
      <c r="J3" s="54">
        <v>2029</v>
      </c>
      <c r="K3" s="425">
        <v>2030</v>
      </c>
      <c r="L3" s="54">
        <v>2031</v>
      </c>
      <c r="M3" s="54">
        <v>2032</v>
      </c>
      <c r="N3" s="425">
        <v>2033</v>
      </c>
      <c r="O3" s="54">
        <v>2034</v>
      </c>
      <c r="P3" s="425">
        <v>2035</v>
      </c>
      <c r="Q3" s="54">
        <v>2036</v>
      </c>
      <c r="R3" s="425">
        <v>2037</v>
      </c>
      <c r="S3" s="54">
        <v>2038</v>
      </c>
      <c r="T3" s="425">
        <v>2039</v>
      </c>
      <c r="U3" s="54">
        <v>2040</v>
      </c>
      <c r="V3" s="425">
        <v>2041</v>
      </c>
      <c r="W3" s="54">
        <v>2042</v>
      </c>
      <c r="X3" s="425">
        <v>2043</v>
      </c>
      <c r="Y3" s="54">
        <v>2044</v>
      </c>
      <c r="Z3" s="425">
        <v>2045</v>
      </c>
      <c r="AA3" s="54">
        <v>2046</v>
      </c>
      <c r="AB3" s="425">
        <v>2047</v>
      </c>
      <c r="AC3" s="54">
        <v>2048</v>
      </c>
      <c r="AD3" s="425">
        <v>2049</v>
      </c>
      <c r="AE3" s="54">
        <v>2050</v>
      </c>
      <c r="AF3" s="425">
        <v>2051</v>
      </c>
      <c r="AG3" s="54">
        <v>2052</v>
      </c>
      <c r="AH3" s="556">
        <v>2053</v>
      </c>
    </row>
    <row r="4" spans="2:34" ht="12.95" customHeight="1">
      <c r="B4" s="732" t="s">
        <v>40</v>
      </c>
      <c r="C4" s="733"/>
      <c r="D4" s="733"/>
      <c r="E4" s="10">
        <f>((Assumptions!D38*Assumptions!D43)*12)*(1-Assumptions!D46+0.5)</f>
        <v>2801925</v>
      </c>
      <c r="F4" s="10">
        <f>(E4)*(1+Assumptions!$D$45)</f>
        <v>2857963.5</v>
      </c>
      <c r="G4" s="10">
        <f>(F4)*(1+Assumptions!$D$45)</f>
        <v>2915122.77</v>
      </c>
      <c r="H4" s="10">
        <f>(G4)*(1+Assumptions!$D$45)</f>
        <v>2973425.2253999999</v>
      </c>
      <c r="I4" s="10">
        <f>(H4)*(1+Assumptions!$D$45)</f>
        <v>3032893.7299079997</v>
      </c>
      <c r="J4" s="10">
        <f>(I4)*(1+Assumptions!$D$45)</f>
        <v>3093551.6045061597</v>
      </c>
      <c r="K4" s="10">
        <f>(J4)*(1+Assumptions!$D$45)</f>
        <v>3155422.6365962829</v>
      </c>
      <c r="L4" s="10">
        <f>(K4)*(1+Assumptions!$D$45)</f>
        <v>3218531.0893282085</v>
      </c>
      <c r="M4" s="10">
        <f>(L4)*(1+Assumptions!$D$45)</f>
        <v>3282901.7111147726</v>
      </c>
      <c r="N4" s="10">
        <f>(M4)*(1+Assumptions!$D$45)</f>
        <v>3348559.7453370681</v>
      </c>
      <c r="O4" s="10">
        <f>(N4)*(1+Assumptions!$D$45)</f>
        <v>3415530.9402438095</v>
      </c>
      <c r="P4" s="10">
        <f>(O4)*(1+Assumptions!$D$45)</f>
        <v>3483841.5590486857</v>
      </c>
      <c r="Q4" s="10">
        <f>(P4)*(1+Assumptions!$D$45)</f>
        <v>3553518.3902296596</v>
      </c>
      <c r="R4" s="10">
        <f>(Q4)*(1+Assumptions!$D$45)</f>
        <v>3624588.758034253</v>
      </c>
      <c r="S4" s="10">
        <f>(R4)*(1+Assumptions!$D$45)</f>
        <v>3697080.5331949382</v>
      </c>
      <c r="T4" s="10">
        <f>(S4)*(1+Assumptions!$D$45)</f>
        <v>3771022.143858837</v>
      </c>
      <c r="U4" s="10">
        <f>(T4)*(1+Assumptions!$D$45)</f>
        <v>3846442.5867360136</v>
      </c>
      <c r="V4" s="10">
        <f>(U4)*(1+Assumptions!$D$45)</f>
        <v>3923371.4384707338</v>
      </c>
      <c r="W4" s="10">
        <f>(V4)*(1+Assumptions!$D$45)</f>
        <v>4001838.8672401486</v>
      </c>
      <c r="X4" s="10">
        <f>(W4)*(1+Assumptions!$D$45)</f>
        <v>4081875.6445849515</v>
      </c>
      <c r="Y4" s="10">
        <f>(X4)*(1+Assumptions!$D$45)</f>
        <v>4163513.1574766506</v>
      </c>
      <c r="Z4" s="10">
        <f>(Y4)*(1+Assumptions!$D$45)</f>
        <v>4246783.420626184</v>
      </c>
      <c r="AA4" s="10">
        <f>(Z4)*(1+Assumptions!$D$45)</f>
        <v>4331719.0890387073</v>
      </c>
      <c r="AB4" s="10">
        <f>(AA4)*(1+Assumptions!$D$45)</f>
        <v>4418353.4708194816</v>
      </c>
      <c r="AC4" s="10">
        <f>(AB4)*(1+Assumptions!$D$45)</f>
        <v>4506720.5402358714</v>
      </c>
      <c r="AD4" s="10">
        <f>(AC4)*(1+Assumptions!$D$45)</f>
        <v>4596854.9510405893</v>
      </c>
      <c r="AE4" s="10">
        <f>(AD4)*(1+Assumptions!$D$45)</f>
        <v>4688792.050061401</v>
      </c>
      <c r="AF4" s="10">
        <f>(AE4)*(1+Assumptions!$D$45)</f>
        <v>4782567.8910626294</v>
      </c>
      <c r="AG4" s="10">
        <f>(AF4)*(1+Assumptions!$D$45)</f>
        <v>4878219.2488838825</v>
      </c>
      <c r="AH4" s="564">
        <f>(AG4)*(1+Assumptions!$D$45)</f>
        <v>4975783.6338615604</v>
      </c>
    </row>
    <row r="5" spans="2:34">
      <c r="B5" s="725" t="s">
        <v>41</v>
      </c>
      <c r="C5" s="726"/>
      <c r="D5" s="726"/>
      <c r="E5" s="10">
        <f>-Assumptions!$B$16*'PAF '!E4</f>
        <v>-42028.875</v>
      </c>
      <c r="F5" s="10">
        <f>-Assumptions!$B$16*'PAF '!F4</f>
        <v>-42869.452499999999</v>
      </c>
      <c r="G5" s="10">
        <f>-Assumptions!$B$16*'PAF '!G4</f>
        <v>-43726.841549999997</v>
      </c>
      <c r="H5" s="10">
        <f>-Assumptions!$B$16*'PAF '!H4</f>
        <v>-44601.378380999995</v>
      </c>
      <c r="I5" s="10">
        <f>-Assumptions!$B$16*'PAF '!I4</f>
        <v>-45493.405948619991</v>
      </c>
      <c r="J5" s="10">
        <f>-Assumptions!$B$16*'PAF '!J4</f>
        <v>-46403.274067592392</v>
      </c>
      <c r="K5" s="10">
        <f>-Assumptions!$B$16*'PAF '!K4</f>
        <v>-47331.339548944241</v>
      </c>
      <c r="L5" s="10">
        <f>-Assumptions!$B$16*'PAF '!L4</f>
        <v>-48277.966339923129</v>
      </c>
      <c r="M5" s="10">
        <f>-Assumptions!$B$16*'PAF '!M4</f>
        <v>-49243.525666721587</v>
      </c>
      <c r="N5" s="10">
        <f>-Assumptions!$B$16*'PAF '!N4</f>
        <v>-50228.396180056021</v>
      </c>
      <c r="O5" s="10">
        <f>-Assumptions!$B$16*'PAF '!O4</f>
        <v>-51232.964103657141</v>
      </c>
      <c r="P5" s="10">
        <f>-Assumptions!$B$16*'PAF '!P4</f>
        <v>-52257.623385730287</v>
      </c>
      <c r="Q5" s="10">
        <f>-Assumptions!$B$16*'PAF '!Q4</f>
        <v>-53302.775853444895</v>
      </c>
      <c r="R5" s="10">
        <f>-Assumptions!$B$16*'PAF '!R4</f>
        <v>-54368.831370513792</v>
      </c>
      <c r="S5" s="10">
        <f>-Assumptions!$B$16*'PAF '!S4</f>
        <v>-55456.207997924073</v>
      </c>
      <c r="T5" s="10">
        <f>-Assumptions!$B$16*'PAF '!T4</f>
        <v>-56565.332157882549</v>
      </c>
      <c r="U5" s="10">
        <f>-Assumptions!$B$16*'PAF '!U4</f>
        <v>-57696.638801040201</v>
      </c>
      <c r="V5" s="10">
        <f>-Assumptions!$B$16*'PAF '!V4</f>
        <v>-58850.571577061004</v>
      </c>
      <c r="W5" s="10">
        <f>-Assumptions!$B$16*'PAF '!W4</f>
        <v>-60027.583008602225</v>
      </c>
      <c r="X5" s="10">
        <f>-Assumptions!$B$16*'PAF '!X4</f>
        <v>-61228.13466877427</v>
      </c>
      <c r="Y5" s="10">
        <f>-Assumptions!$B$16*'PAF '!Y4</f>
        <v>-62452.697362149753</v>
      </c>
      <c r="Z5" s="10">
        <f>-Assumptions!$B$16*'PAF '!Z4</f>
        <v>-63701.751309392756</v>
      </c>
      <c r="AA5" s="10">
        <f>-Assumptions!$B$16*'PAF '!AA4</f>
        <v>-64975.786335580604</v>
      </c>
      <c r="AB5" s="10">
        <f>-Assumptions!$B$16*'PAF '!AB4</f>
        <v>-66275.302062292219</v>
      </c>
      <c r="AC5" s="10">
        <f>-Assumptions!$B$16*'PAF '!AC4</f>
        <v>-67600.808103538075</v>
      </c>
      <c r="AD5" s="10">
        <f>-Assumptions!$B$16*'PAF '!AD4</f>
        <v>-68952.824265608841</v>
      </c>
      <c r="AE5" s="10">
        <f>-Assumptions!$B$16*'PAF '!AE4</f>
        <v>-70331.880750921016</v>
      </c>
      <c r="AF5" s="10">
        <f>-Assumptions!$B$16*'PAF '!AF4</f>
        <v>-71738.518365939439</v>
      </c>
      <c r="AG5" s="10">
        <f>-Assumptions!$B$16*'PAF '!AG4</f>
        <v>-73173.288733258232</v>
      </c>
      <c r="AH5" s="564">
        <f>-Assumptions!$B$16*'PAF '!AH4</f>
        <v>-74636.754507923397</v>
      </c>
    </row>
    <row r="6" spans="2:34">
      <c r="B6" s="734" t="s">
        <v>42</v>
      </c>
      <c r="C6" s="735"/>
      <c r="D6" s="735"/>
      <c r="E6" s="10">
        <f>E4+E5</f>
        <v>2759896.125</v>
      </c>
      <c r="F6" s="10">
        <f t="shared" ref="F6:N6" si="0">F4+F5</f>
        <v>2815094.0474999999</v>
      </c>
      <c r="G6" s="10">
        <f t="shared" si="0"/>
        <v>2871395.92845</v>
      </c>
      <c r="H6" s="10">
        <f t="shared" si="0"/>
        <v>2928823.847019</v>
      </c>
      <c r="I6" s="10">
        <f t="shared" si="0"/>
        <v>2987400.3239593799</v>
      </c>
      <c r="J6" s="10">
        <f t="shared" si="0"/>
        <v>3047148.3304385673</v>
      </c>
      <c r="K6" s="10">
        <f t="shared" si="0"/>
        <v>3108091.2970473389</v>
      </c>
      <c r="L6" s="10">
        <f t="shared" si="0"/>
        <v>3170253.1229882855</v>
      </c>
      <c r="M6" s="10">
        <f t="shared" si="0"/>
        <v>3233658.185448051</v>
      </c>
      <c r="N6" s="10">
        <f t="shared" si="0"/>
        <v>3298331.3491570121</v>
      </c>
      <c r="O6" s="10">
        <f t="shared" ref="O6:Z6" si="1">O4+O5</f>
        <v>3364297.9761401522</v>
      </c>
      <c r="P6" s="10">
        <f t="shared" si="1"/>
        <v>3431583.9356629555</v>
      </c>
      <c r="Q6" s="10">
        <f t="shared" si="1"/>
        <v>3500215.6143762148</v>
      </c>
      <c r="R6" s="10">
        <f t="shared" si="1"/>
        <v>3570219.9266637391</v>
      </c>
      <c r="S6" s="10">
        <f t="shared" si="1"/>
        <v>3641624.325197014</v>
      </c>
      <c r="T6" s="10">
        <f t="shared" si="1"/>
        <v>3714456.8117009546</v>
      </c>
      <c r="U6" s="10">
        <f t="shared" si="1"/>
        <v>3788745.9479349735</v>
      </c>
      <c r="V6" s="10">
        <f t="shared" si="1"/>
        <v>3864520.8668936728</v>
      </c>
      <c r="W6" s="10">
        <f t="shared" si="1"/>
        <v>3941811.2842315463</v>
      </c>
      <c r="X6" s="10">
        <f t="shared" si="1"/>
        <v>4020647.509916177</v>
      </c>
      <c r="Y6" s="10">
        <f t="shared" si="1"/>
        <v>4101060.460114501</v>
      </c>
      <c r="Z6" s="10">
        <f t="shared" si="1"/>
        <v>4183081.669316791</v>
      </c>
      <c r="AA6" s="10">
        <f t="shared" ref="AA6:AH6" si="2">AA4+AA5</f>
        <v>4266743.3027031263</v>
      </c>
      <c r="AB6" s="10">
        <f t="shared" si="2"/>
        <v>4352078.1687571891</v>
      </c>
      <c r="AC6" s="10">
        <f t="shared" si="2"/>
        <v>4439119.7321323333</v>
      </c>
      <c r="AD6" s="10">
        <f t="shared" si="2"/>
        <v>4527902.1267749807</v>
      </c>
      <c r="AE6" s="10">
        <f t="shared" si="2"/>
        <v>4618460.1693104804</v>
      </c>
      <c r="AF6" s="10">
        <f t="shared" si="2"/>
        <v>4710829.3726966903</v>
      </c>
      <c r="AG6" s="10">
        <f t="shared" si="2"/>
        <v>4805045.9601506246</v>
      </c>
      <c r="AH6" s="564">
        <f t="shared" si="2"/>
        <v>4901146.8793536369</v>
      </c>
    </row>
    <row r="7" spans="2:34">
      <c r="B7" s="736" t="s">
        <v>43</v>
      </c>
      <c r="C7" s="737"/>
      <c r="D7" s="737"/>
      <c r="E7" s="10">
        <f>Assumptions!$B$12*Assumptions!$B$11</f>
        <v>0</v>
      </c>
      <c r="F7" s="10">
        <f>Assumptions!$B$12*Assumptions!$B$11</f>
        <v>0</v>
      </c>
      <c r="G7" s="10">
        <f>Assumptions!$B$12*Assumptions!$B$11</f>
        <v>0</v>
      </c>
      <c r="H7" s="10">
        <f>Assumptions!$B$12*Assumptions!$B$11</f>
        <v>0</v>
      </c>
      <c r="I7" s="10">
        <f>Assumptions!$B$12*Assumptions!$B$11</f>
        <v>0</v>
      </c>
      <c r="J7" s="10">
        <f>Assumptions!$B$12*Assumptions!$B$11</f>
        <v>0</v>
      </c>
      <c r="K7" s="10">
        <f>Assumptions!$B$12*Assumptions!$B$11</f>
        <v>0</v>
      </c>
      <c r="L7" s="10">
        <f>Assumptions!$B$12*Assumptions!$B$11</f>
        <v>0</v>
      </c>
      <c r="M7" s="10">
        <f>Assumptions!$B$12*Assumptions!$B$11</f>
        <v>0</v>
      </c>
      <c r="N7" s="10">
        <f>Assumptions!$B$12*Assumptions!$B$11</f>
        <v>0</v>
      </c>
      <c r="O7" s="10">
        <f>Assumptions!$B$12*Assumptions!$B$11</f>
        <v>0</v>
      </c>
      <c r="P7" s="10">
        <f>Assumptions!$B$12*Assumptions!$B$11</f>
        <v>0</v>
      </c>
      <c r="Q7" s="10">
        <f>Assumptions!$B$12*Assumptions!$B$11</f>
        <v>0</v>
      </c>
      <c r="R7" s="10">
        <f>Assumptions!$B$12*Assumptions!$B$11</f>
        <v>0</v>
      </c>
      <c r="S7" s="10">
        <f>Assumptions!$B$12*Assumptions!$B$11</f>
        <v>0</v>
      </c>
      <c r="T7" s="10">
        <f>Assumptions!$B$12*Assumptions!$B$11</f>
        <v>0</v>
      </c>
      <c r="U7" s="10">
        <f>Assumptions!$B$12*Assumptions!$B$11</f>
        <v>0</v>
      </c>
      <c r="V7" s="10">
        <f>Assumptions!$B$12*Assumptions!$B$11</f>
        <v>0</v>
      </c>
      <c r="W7" s="10">
        <f>Assumptions!$B$12*Assumptions!$B$11</f>
        <v>0</v>
      </c>
      <c r="X7" s="10">
        <f>Assumptions!$B$12*Assumptions!$B$11</f>
        <v>0</v>
      </c>
      <c r="Y7" s="10">
        <f>Assumptions!$B$12*Assumptions!$B$11</f>
        <v>0</v>
      </c>
      <c r="Z7" s="10">
        <f>Assumptions!$B$12*Assumptions!$B$11</f>
        <v>0</v>
      </c>
      <c r="AA7" s="10">
        <f>Assumptions!$B$12*Assumptions!$B$11</f>
        <v>0</v>
      </c>
      <c r="AB7" s="10">
        <f>Assumptions!$B$12*Assumptions!$B$11</f>
        <v>0</v>
      </c>
      <c r="AC7" s="10">
        <f>Assumptions!$B$12*Assumptions!$B$11</f>
        <v>0</v>
      </c>
      <c r="AD7" s="10">
        <f>Assumptions!$B$12*Assumptions!$B$11</f>
        <v>0</v>
      </c>
      <c r="AE7" s="10">
        <f>Assumptions!$B$12*Assumptions!$B$11</f>
        <v>0</v>
      </c>
      <c r="AF7" s="10">
        <f>Assumptions!$B$12*Assumptions!$B$11</f>
        <v>0</v>
      </c>
      <c r="AG7" s="10">
        <f>Assumptions!$B$12*Assumptions!$B$11</f>
        <v>0</v>
      </c>
      <c r="AH7" s="564">
        <f>Assumptions!$B$12*Assumptions!$B$11</f>
        <v>0</v>
      </c>
    </row>
    <row r="8" spans="2:34">
      <c r="B8" s="736" t="s">
        <v>44</v>
      </c>
      <c r="C8" s="737"/>
      <c r="D8" s="737"/>
      <c r="E8" s="10">
        <f>E6+E7</f>
        <v>2759896.125</v>
      </c>
      <c r="F8" s="10">
        <f t="shared" ref="F8:N8" si="3">F6+F7</f>
        <v>2815094.0474999999</v>
      </c>
      <c r="G8" s="10">
        <f t="shared" si="3"/>
        <v>2871395.92845</v>
      </c>
      <c r="H8" s="10">
        <f t="shared" si="3"/>
        <v>2928823.847019</v>
      </c>
      <c r="I8" s="10">
        <f t="shared" si="3"/>
        <v>2987400.3239593799</v>
      </c>
      <c r="J8" s="10">
        <f t="shared" si="3"/>
        <v>3047148.3304385673</v>
      </c>
      <c r="K8" s="10">
        <f t="shared" si="3"/>
        <v>3108091.2970473389</v>
      </c>
      <c r="L8" s="10">
        <f t="shared" si="3"/>
        <v>3170253.1229882855</v>
      </c>
      <c r="M8" s="10">
        <f t="shared" si="3"/>
        <v>3233658.185448051</v>
      </c>
      <c r="N8" s="10">
        <f t="shared" si="3"/>
        <v>3298331.3491570121</v>
      </c>
      <c r="O8" s="10">
        <f t="shared" ref="O8:Z8" si="4">O6+O7</f>
        <v>3364297.9761401522</v>
      </c>
      <c r="P8" s="10">
        <f t="shared" si="4"/>
        <v>3431583.9356629555</v>
      </c>
      <c r="Q8" s="10">
        <f t="shared" si="4"/>
        <v>3500215.6143762148</v>
      </c>
      <c r="R8" s="10">
        <f t="shared" si="4"/>
        <v>3570219.9266637391</v>
      </c>
      <c r="S8" s="10">
        <f t="shared" si="4"/>
        <v>3641624.325197014</v>
      </c>
      <c r="T8" s="10">
        <f t="shared" si="4"/>
        <v>3714456.8117009546</v>
      </c>
      <c r="U8" s="10">
        <f t="shared" si="4"/>
        <v>3788745.9479349735</v>
      </c>
      <c r="V8" s="10">
        <f t="shared" si="4"/>
        <v>3864520.8668936728</v>
      </c>
      <c r="W8" s="10">
        <f t="shared" si="4"/>
        <v>3941811.2842315463</v>
      </c>
      <c r="X8" s="10">
        <f t="shared" si="4"/>
        <v>4020647.509916177</v>
      </c>
      <c r="Y8" s="10">
        <f t="shared" si="4"/>
        <v>4101060.460114501</v>
      </c>
      <c r="Z8" s="10">
        <f t="shared" si="4"/>
        <v>4183081.669316791</v>
      </c>
      <c r="AA8" s="10">
        <f t="shared" ref="AA8:AH8" si="5">AA6+AA7</f>
        <v>4266743.3027031263</v>
      </c>
      <c r="AB8" s="10">
        <f t="shared" si="5"/>
        <v>4352078.1687571891</v>
      </c>
      <c r="AC8" s="10">
        <f t="shared" si="5"/>
        <v>4439119.7321323333</v>
      </c>
      <c r="AD8" s="10">
        <f t="shared" si="5"/>
        <v>4527902.1267749807</v>
      </c>
      <c r="AE8" s="10">
        <f t="shared" si="5"/>
        <v>4618460.1693104804</v>
      </c>
      <c r="AF8" s="10">
        <f t="shared" si="5"/>
        <v>4710829.3726966903</v>
      </c>
      <c r="AG8" s="10">
        <f t="shared" si="5"/>
        <v>4805045.9601506246</v>
      </c>
      <c r="AH8" s="564">
        <f t="shared" si="5"/>
        <v>4901146.8793536369</v>
      </c>
    </row>
    <row r="9" spans="2:34">
      <c r="B9" s="738" t="s">
        <v>45</v>
      </c>
      <c r="C9" s="739"/>
      <c r="D9" s="739"/>
      <c r="E9" s="1"/>
      <c r="F9" s="3"/>
      <c r="G9" s="4"/>
      <c r="H9" s="5"/>
      <c r="I9" s="5"/>
      <c r="J9" s="4"/>
      <c r="K9" s="5"/>
      <c r="L9" s="5"/>
      <c r="M9" s="5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58"/>
    </row>
    <row r="10" spans="2:34">
      <c r="B10" s="725" t="s">
        <v>46</v>
      </c>
      <c r="C10" s="726"/>
      <c r="D10" s="726"/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1</v>
      </c>
      <c r="P10" s="16">
        <v>2</v>
      </c>
      <c r="Q10" s="16">
        <v>3</v>
      </c>
      <c r="R10" s="16">
        <v>4</v>
      </c>
      <c r="S10" s="16">
        <v>5</v>
      </c>
      <c r="T10" s="16">
        <v>6</v>
      </c>
      <c r="U10" s="16">
        <v>7</v>
      </c>
      <c r="V10" s="16">
        <v>8</v>
      </c>
      <c r="W10" s="16">
        <v>9</v>
      </c>
      <c r="X10" s="16">
        <v>10</v>
      </c>
      <c r="Y10" s="16">
        <v>11</v>
      </c>
      <c r="Z10" s="16">
        <v>12</v>
      </c>
      <c r="AA10" s="16">
        <v>13</v>
      </c>
      <c r="AB10" s="16">
        <v>14</v>
      </c>
      <c r="AC10" s="16">
        <v>15</v>
      </c>
      <c r="AD10" s="16">
        <v>16</v>
      </c>
      <c r="AE10" s="16">
        <v>17</v>
      </c>
      <c r="AF10" s="16">
        <v>18</v>
      </c>
      <c r="AG10" s="16">
        <v>19</v>
      </c>
      <c r="AH10" s="557">
        <v>20</v>
      </c>
    </row>
    <row r="11" spans="2:34">
      <c r="B11" s="725" t="s">
        <v>47</v>
      </c>
      <c r="C11" s="726"/>
      <c r="D11" s="726"/>
      <c r="E11" s="16">
        <f t="shared" ref="E11:AH11" si="6">-$C$53</f>
        <v>-918400.00000000023</v>
      </c>
      <c r="F11" s="16">
        <f t="shared" si="6"/>
        <v>-918400.00000000023</v>
      </c>
      <c r="G11" s="16">
        <f t="shared" si="6"/>
        <v>-918400.00000000023</v>
      </c>
      <c r="H11" s="16">
        <f t="shared" si="6"/>
        <v>-918400.00000000023</v>
      </c>
      <c r="I11" s="16">
        <f t="shared" si="6"/>
        <v>-918400.00000000023</v>
      </c>
      <c r="J11" s="16">
        <f t="shared" si="6"/>
        <v>-918400.00000000023</v>
      </c>
      <c r="K11" s="16">
        <f t="shared" si="6"/>
        <v>-918400.00000000023</v>
      </c>
      <c r="L11" s="16">
        <f t="shared" si="6"/>
        <v>-918400.00000000023</v>
      </c>
      <c r="M11" s="16">
        <f t="shared" si="6"/>
        <v>-918400.00000000023</v>
      </c>
      <c r="N11" s="16">
        <f t="shared" si="6"/>
        <v>-918400.00000000023</v>
      </c>
      <c r="O11" s="16">
        <f t="shared" si="6"/>
        <v>-918400.00000000023</v>
      </c>
      <c r="P11" s="16">
        <f t="shared" si="6"/>
        <v>-918400.00000000023</v>
      </c>
      <c r="Q11" s="16">
        <f t="shared" si="6"/>
        <v>-918400.00000000023</v>
      </c>
      <c r="R11" s="16">
        <f t="shared" si="6"/>
        <v>-918400.00000000023</v>
      </c>
      <c r="S11" s="16">
        <f t="shared" si="6"/>
        <v>-918400.00000000023</v>
      </c>
      <c r="T11" s="16">
        <f t="shared" si="6"/>
        <v>-918400.00000000023</v>
      </c>
      <c r="U11" s="16">
        <f t="shared" si="6"/>
        <v>-918400.00000000023</v>
      </c>
      <c r="V11" s="16">
        <f t="shared" si="6"/>
        <v>-918400.00000000023</v>
      </c>
      <c r="W11" s="16">
        <f t="shared" si="6"/>
        <v>-918400.00000000023</v>
      </c>
      <c r="X11" s="16">
        <f t="shared" si="6"/>
        <v>-918400.00000000023</v>
      </c>
      <c r="Y11" s="16">
        <f t="shared" si="6"/>
        <v>-918400.00000000023</v>
      </c>
      <c r="Z11" s="16">
        <f t="shared" si="6"/>
        <v>-918400.00000000023</v>
      </c>
      <c r="AA11" s="16">
        <f t="shared" si="6"/>
        <v>-918400.00000000023</v>
      </c>
      <c r="AB11" s="16">
        <f t="shared" si="6"/>
        <v>-918400.00000000023</v>
      </c>
      <c r="AC11" s="16">
        <f t="shared" si="6"/>
        <v>-918400.00000000023</v>
      </c>
      <c r="AD11" s="16">
        <f t="shared" si="6"/>
        <v>-918400.00000000023</v>
      </c>
      <c r="AE11" s="16">
        <f t="shared" si="6"/>
        <v>-918400.00000000023</v>
      </c>
      <c r="AF11" s="16">
        <f t="shared" si="6"/>
        <v>-918400.00000000023</v>
      </c>
      <c r="AG11" s="16">
        <f t="shared" si="6"/>
        <v>-918400.00000000023</v>
      </c>
      <c r="AH11" s="557">
        <f t="shared" si="6"/>
        <v>-918400.00000000023</v>
      </c>
    </row>
    <row r="12" spans="2:34">
      <c r="B12" s="725" t="s">
        <v>48</v>
      </c>
      <c r="C12" s="726"/>
      <c r="D12" s="726"/>
      <c r="E12" s="10">
        <f>-E6*Assumptions!D6</f>
        <v>-110395.845</v>
      </c>
      <c r="F12" s="10">
        <f>-F8*0.04</f>
        <v>-112603.7619</v>
      </c>
      <c r="G12" s="10">
        <f>-G8*0.04</f>
        <v>-114855.837138</v>
      </c>
      <c r="H12" s="10">
        <f t="shared" ref="H12:N12" si="7">-H8*0.04</f>
        <v>-117152.95388076</v>
      </c>
      <c r="I12" s="10">
        <f t="shared" si="7"/>
        <v>-119496.0129583752</v>
      </c>
      <c r="J12" s="10">
        <f t="shared" si="7"/>
        <v>-121885.9332175427</v>
      </c>
      <c r="K12" s="10">
        <f t="shared" si="7"/>
        <v>-124323.65188189356</v>
      </c>
      <c r="L12" s="10">
        <f t="shared" si="7"/>
        <v>-126810.12491953142</v>
      </c>
      <c r="M12" s="10">
        <f t="shared" si="7"/>
        <v>-129346.32741792205</v>
      </c>
      <c r="N12" s="10">
        <f t="shared" si="7"/>
        <v>-131933.25396628049</v>
      </c>
      <c r="O12" s="10">
        <f t="shared" ref="O12:Z12" si="8">-O8*0.04</f>
        <v>-134571.9190456061</v>
      </c>
      <c r="P12" s="10">
        <f t="shared" si="8"/>
        <v>-137263.35742651823</v>
      </c>
      <c r="Q12" s="10">
        <f t="shared" si="8"/>
        <v>-140008.6245750486</v>
      </c>
      <c r="R12" s="10">
        <f t="shared" si="8"/>
        <v>-142808.79706654957</v>
      </c>
      <c r="S12" s="10">
        <f t="shared" si="8"/>
        <v>-145664.97300788056</v>
      </c>
      <c r="T12" s="10">
        <f t="shared" si="8"/>
        <v>-148578.27246803819</v>
      </c>
      <c r="U12" s="10">
        <f t="shared" si="8"/>
        <v>-151549.83791739895</v>
      </c>
      <c r="V12" s="10">
        <f t="shared" si="8"/>
        <v>-154580.83467574691</v>
      </c>
      <c r="W12" s="10">
        <f t="shared" si="8"/>
        <v>-157672.45136926186</v>
      </c>
      <c r="X12" s="10">
        <f t="shared" si="8"/>
        <v>-160825.90039664708</v>
      </c>
      <c r="Y12" s="10">
        <f t="shared" si="8"/>
        <v>-164042.41840458004</v>
      </c>
      <c r="Z12" s="10">
        <f t="shared" si="8"/>
        <v>-167323.26677267163</v>
      </c>
      <c r="AA12" s="10">
        <f t="shared" ref="AA12:AH12" si="9">-AA8*0.04</f>
        <v>-170669.73210812506</v>
      </c>
      <c r="AB12" s="10">
        <f t="shared" si="9"/>
        <v>-174083.12675028757</v>
      </c>
      <c r="AC12" s="10">
        <f t="shared" si="9"/>
        <v>-177564.78928529334</v>
      </c>
      <c r="AD12" s="10">
        <f t="shared" si="9"/>
        <v>-181116.08507099922</v>
      </c>
      <c r="AE12" s="10">
        <f t="shared" si="9"/>
        <v>-184738.40677241923</v>
      </c>
      <c r="AF12" s="10">
        <f t="shared" si="9"/>
        <v>-188433.17490786762</v>
      </c>
      <c r="AG12" s="10">
        <f t="shared" si="9"/>
        <v>-192201.838406025</v>
      </c>
      <c r="AH12" s="564">
        <f t="shared" si="9"/>
        <v>-196045.87517414548</v>
      </c>
    </row>
    <row r="13" spans="2:34">
      <c r="B13" s="725" t="s">
        <v>49</v>
      </c>
      <c r="C13" s="726"/>
      <c r="D13" s="726"/>
      <c r="E13" s="16">
        <f>-$D$45*Assumptions!$D$10</f>
        <v>-825000</v>
      </c>
      <c r="F13" s="16">
        <f>-$D$45*Assumptions!$D$10</f>
        <v>-825000</v>
      </c>
      <c r="G13" s="16">
        <f>-$D$45*Assumptions!$D$10</f>
        <v>-825000</v>
      </c>
      <c r="H13" s="16">
        <f>-$D$45*Assumptions!$D$10</f>
        <v>-825000</v>
      </c>
      <c r="I13" s="16">
        <f>-$D$45*Assumptions!$D$10</f>
        <v>-825000</v>
      </c>
      <c r="J13" s="16">
        <f>-$D$45*Assumptions!$D$10</f>
        <v>-825000</v>
      </c>
      <c r="K13" s="16">
        <f>-$D$45*Assumptions!$D$10</f>
        <v>-825000</v>
      </c>
      <c r="L13" s="16">
        <f>-$D$45*Assumptions!$D$10</f>
        <v>-825000</v>
      </c>
      <c r="M13" s="16">
        <f>-$D$45*Assumptions!$D$10</f>
        <v>-825000</v>
      </c>
      <c r="N13" s="16">
        <f>-$D$45*Assumptions!$D$10</f>
        <v>-825000</v>
      </c>
      <c r="O13" s="16">
        <f>-$D$45*Assumptions!$D$10</f>
        <v>-825000</v>
      </c>
      <c r="P13" s="16">
        <f>-$D$45*Assumptions!$D$10</f>
        <v>-825000</v>
      </c>
      <c r="Q13" s="16">
        <f>-$D$45*Assumptions!$D$10</f>
        <v>-825000</v>
      </c>
      <c r="R13" s="16">
        <f>-$D$45*Assumptions!$D$10</f>
        <v>-825000</v>
      </c>
      <c r="S13" s="16">
        <f>-$D$45*Assumptions!$D$10</f>
        <v>-825000</v>
      </c>
      <c r="T13" s="16">
        <f>-$D$45*Assumptions!$D$10</f>
        <v>-825000</v>
      </c>
      <c r="U13" s="16">
        <f>-$D$45*Assumptions!$D$10</f>
        <v>-825000</v>
      </c>
      <c r="V13" s="16">
        <f>-$D$45*Assumptions!$D$10</f>
        <v>-825000</v>
      </c>
      <c r="W13" s="16">
        <f>-$D$45*Assumptions!$D$10</f>
        <v>-825000</v>
      </c>
      <c r="X13" s="16">
        <f>-$D$45*Assumptions!$D$10</f>
        <v>-825000</v>
      </c>
      <c r="Y13" s="16">
        <f>-$D$45*Assumptions!$D$10</f>
        <v>-825000</v>
      </c>
      <c r="Z13" s="16">
        <f>-$D$45*Assumptions!$D$10</f>
        <v>-825000</v>
      </c>
      <c r="AA13" s="16">
        <f>-$D$45*Assumptions!$D$10</f>
        <v>-825000</v>
      </c>
      <c r="AB13" s="16">
        <f>-$D$45*Assumptions!$D$10</f>
        <v>-825000</v>
      </c>
      <c r="AC13" s="16">
        <f>-$D$45*Assumptions!$D$10</f>
        <v>-825000</v>
      </c>
      <c r="AD13" s="16">
        <f>-$D$45*Assumptions!$D$10</f>
        <v>-825000</v>
      </c>
      <c r="AE13" s="16">
        <f>-$D$45*Assumptions!$D$10</f>
        <v>-825000</v>
      </c>
      <c r="AF13" s="16">
        <f>-$D$45*Assumptions!$D$10</f>
        <v>-825000</v>
      </c>
      <c r="AG13" s="16">
        <f>-$D$45*Assumptions!$D$10</f>
        <v>-825000</v>
      </c>
      <c r="AH13" s="557">
        <f>-$D$45*Assumptions!$D$10</f>
        <v>-825000</v>
      </c>
    </row>
    <row r="14" spans="2:34">
      <c r="B14" s="725" t="s">
        <v>498</v>
      </c>
      <c r="C14" s="726"/>
      <c r="D14" s="726"/>
      <c r="E14" s="10">
        <f>-E6*Assumptions!$D$48</f>
        <v>-82796.883749999994</v>
      </c>
      <c r="F14" s="10">
        <f>-F6*Assumptions!$D$48</f>
        <v>-84452.821424999987</v>
      </c>
      <c r="G14" s="10">
        <f>-G6*Assumptions!$D$48</f>
        <v>-86141.877853500002</v>
      </c>
      <c r="H14" s="10">
        <f>-H6*Assumptions!$D$48</f>
        <v>-87864.715410570003</v>
      </c>
      <c r="I14" s="10">
        <f>-I6*Assumptions!$D$48</f>
        <v>-89622.009718781395</v>
      </c>
      <c r="J14" s="10">
        <f>-J6*Assumptions!$D$48</f>
        <v>-91414.449913157019</v>
      </c>
      <c r="K14" s="10">
        <f>-K6*Assumptions!$D$48</f>
        <v>-93242.738911420165</v>
      </c>
      <c r="L14" s="10">
        <f>-L6*Assumptions!$D$48</f>
        <v>-95107.593689648565</v>
      </c>
      <c r="M14" s="10">
        <f>-M6*Assumptions!$D$48</f>
        <v>-97009.745563441524</v>
      </c>
      <c r="N14" s="10">
        <f>-N6*Assumptions!$D$48</f>
        <v>-98949.940474710354</v>
      </c>
      <c r="O14" s="10">
        <f>-O6*Assumptions!$D$48</f>
        <v>-100928.93928420456</v>
      </c>
      <c r="P14" s="10">
        <f>-P6*Assumptions!$D$48</f>
        <v>-102947.51806988865</v>
      </c>
      <c r="Q14" s="10">
        <f>-Q6*Assumptions!$D$48</f>
        <v>-105006.46843128644</v>
      </c>
      <c r="R14" s="10">
        <f>-R6*Assumptions!$D$48</f>
        <v>-107106.59779991217</v>
      </c>
      <c r="S14" s="10">
        <f>-S6*Assumptions!$D$48</f>
        <v>-109248.72975591042</v>
      </c>
      <c r="T14" s="10">
        <f>-T6*Assumptions!$D$48</f>
        <v>-111433.70435102863</v>
      </c>
      <c r="U14" s="10">
        <f>-U6*Assumptions!$D$48</f>
        <v>-113662.3784380492</v>
      </c>
      <c r="V14" s="10">
        <f>-V6*Assumptions!$D$48</f>
        <v>-115935.62600681018</v>
      </c>
      <c r="W14" s="10">
        <f>-W6*Assumptions!$D$48</f>
        <v>-118254.33852694639</v>
      </c>
      <c r="X14" s="10">
        <f>-X6*Assumptions!$D$48</f>
        <v>-120619.4252974853</v>
      </c>
      <c r="Y14" s="10">
        <f>-Y6*Assumptions!$D$48</f>
        <v>-123031.81380343503</v>
      </c>
      <c r="Z14" s="10">
        <f>-Z6*Assumptions!$D$48</f>
        <v>-125492.45007950373</v>
      </c>
      <c r="AA14" s="10">
        <f>-AA6*Assumptions!$D$48</f>
        <v>-128002.29908109379</v>
      </c>
      <c r="AB14" s="10">
        <f>-AB6*Assumptions!$D$48</f>
        <v>-130562.34506271567</v>
      </c>
      <c r="AC14" s="10">
        <f>-AC6*Assumptions!$D$48</f>
        <v>-133173.59196396999</v>
      </c>
      <c r="AD14" s="10">
        <f>-AD6*Assumptions!$D$48</f>
        <v>-135837.06380324942</v>
      </c>
      <c r="AE14" s="10">
        <f>-AE6*Assumptions!$D$48</f>
        <v>-138553.80507931439</v>
      </c>
      <c r="AF14" s="10">
        <f>-AF6*Assumptions!$D$48</f>
        <v>-141324.8811809007</v>
      </c>
      <c r="AG14" s="10">
        <f>-AG6*Assumptions!$D$48</f>
        <v>-144151.37880451872</v>
      </c>
      <c r="AH14" s="564">
        <f>-AH6*Assumptions!$D$48</f>
        <v>-147034.40638060911</v>
      </c>
    </row>
    <row r="15" spans="2:34">
      <c r="B15" s="742" t="s">
        <v>51</v>
      </c>
      <c r="C15" s="743"/>
      <c r="D15" s="743"/>
      <c r="E15" s="12">
        <f>E10+E12+E14+E11+E13</f>
        <v>-1936592.7287500002</v>
      </c>
      <c r="F15" s="12">
        <f t="shared" ref="F15:N15" si="10">F10+F12+F14+F11+F13</f>
        <v>-1940456.5833250002</v>
      </c>
      <c r="G15" s="12">
        <f t="shared" si="10"/>
        <v>-1944397.7149915001</v>
      </c>
      <c r="H15" s="12">
        <f t="shared" si="10"/>
        <v>-1948417.6692913303</v>
      </c>
      <c r="I15" s="12">
        <f t="shared" si="10"/>
        <v>-1952518.0226771568</v>
      </c>
      <c r="J15" s="12">
        <f t="shared" si="10"/>
        <v>-1956700.3831306999</v>
      </c>
      <c r="K15" s="12">
        <f t="shared" si="10"/>
        <v>-1960966.390793314</v>
      </c>
      <c r="L15" s="12">
        <f t="shared" si="10"/>
        <v>-1965317.7186091803</v>
      </c>
      <c r="M15" s="12">
        <f t="shared" si="10"/>
        <v>-1969756.0729813639</v>
      </c>
      <c r="N15" s="12">
        <f t="shared" si="10"/>
        <v>-1974283.1944409912</v>
      </c>
      <c r="O15" s="12">
        <f t="shared" ref="O15:Z15" si="11">O10+O12+O14+O11+O13</f>
        <v>-1978899.8583298109</v>
      </c>
      <c r="P15" s="12">
        <f t="shared" si="11"/>
        <v>-1983608.875496407</v>
      </c>
      <c r="Q15" s="12">
        <f t="shared" si="11"/>
        <v>-1988412.0930063352</v>
      </c>
      <c r="R15" s="12">
        <f t="shared" si="11"/>
        <v>-1993311.3948664619</v>
      </c>
      <c r="S15" s="12">
        <f t="shared" si="11"/>
        <v>-1998308.7027637912</v>
      </c>
      <c r="T15" s="12">
        <f t="shared" si="11"/>
        <v>-2003405.976819067</v>
      </c>
      <c r="U15" s="12">
        <f t="shared" si="11"/>
        <v>-2008605.2163554484</v>
      </c>
      <c r="V15" s="12">
        <f t="shared" si="11"/>
        <v>-2013908.4606825574</v>
      </c>
      <c r="W15" s="12">
        <f t="shared" si="11"/>
        <v>-2019317.7898962086</v>
      </c>
      <c r="X15" s="12">
        <f t="shared" si="11"/>
        <v>-2024835.3256941326</v>
      </c>
      <c r="Y15" s="12">
        <f t="shared" si="11"/>
        <v>-2030463.2322080154</v>
      </c>
      <c r="Z15" s="12">
        <f t="shared" si="11"/>
        <v>-2036203.7168521755</v>
      </c>
      <c r="AA15" s="12">
        <f t="shared" ref="AA15:AH15" si="12">AA10+AA12+AA14+AA11+AA13</f>
        <v>-2042059.0311892191</v>
      </c>
      <c r="AB15" s="12">
        <f t="shared" si="12"/>
        <v>-2048031.4718130035</v>
      </c>
      <c r="AC15" s="12">
        <f t="shared" si="12"/>
        <v>-2054123.3812492634</v>
      </c>
      <c r="AD15" s="12">
        <f t="shared" si="12"/>
        <v>-2060337.1488742488</v>
      </c>
      <c r="AE15" s="12">
        <f t="shared" si="12"/>
        <v>-2066675.2118517337</v>
      </c>
      <c r="AF15" s="12">
        <f t="shared" si="12"/>
        <v>-2073140.0560887684</v>
      </c>
      <c r="AG15" s="12">
        <f t="shared" si="12"/>
        <v>-2079734.2172105438</v>
      </c>
      <c r="AH15" s="565">
        <f t="shared" si="12"/>
        <v>-2086460.2815547548</v>
      </c>
    </row>
    <row r="16" spans="2:34">
      <c r="B16" s="573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574"/>
    </row>
    <row r="17" spans="2:34">
      <c r="B17" s="736" t="s">
        <v>52</v>
      </c>
      <c r="C17" s="737"/>
      <c r="D17" s="737"/>
      <c r="E17" s="10">
        <f>E8+E15</f>
        <v>823303.39624999976</v>
      </c>
      <c r="F17" s="10">
        <f t="shared" ref="F17:N17" si="13">F8+F15</f>
        <v>874637.46417499962</v>
      </c>
      <c r="G17" s="10">
        <f t="shared" si="13"/>
        <v>926998.21345849987</v>
      </c>
      <c r="H17" s="10">
        <f t="shared" si="13"/>
        <v>980406.17772766971</v>
      </c>
      <c r="I17" s="10">
        <f t="shared" si="13"/>
        <v>1034882.3012822231</v>
      </c>
      <c r="J17" s="10">
        <f t="shared" si="13"/>
        <v>1090447.9473078675</v>
      </c>
      <c r="K17" s="10">
        <f t="shared" si="13"/>
        <v>1147124.9062540249</v>
      </c>
      <c r="L17" s="10">
        <f t="shared" si="13"/>
        <v>1204935.4043791052</v>
      </c>
      <c r="M17" s="10">
        <f t="shared" si="13"/>
        <v>1263902.1124666871</v>
      </c>
      <c r="N17" s="10">
        <f t="shared" si="13"/>
        <v>1324048.1547160209</v>
      </c>
      <c r="O17" s="10">
        <f t="shared" ref="O17:Z17" si="14">O8+O15</f>
        <v>1385398.1178103413</v>
      </c>
      <c r="P17" s="10">
        <f t="shared" si="14"/>
        <v>1447975.0601665485</v>
      </c>
      <c r="Q17" s="10">
        <f t="shared" si="14"/>
        <v>1511803.5213698796</v>
      </c>
      <c r="R17" s="10">
        <f t="shared" si="14"/>
        <v>1576908.5317972773</v>
      </c>
      <c r="S17" s="10">
        <f t="shared" si="14"/>
        <v>1643315.6224332228</v>
      </c>
      <c r="T17" s="10">
        <f t="shared" si="14"/>
        <v>1711050.8348818875</v>
      </c>
      <c r="U17" s="10">
        <f t="shared" si="14"/>
        <v>1780140.7315795252</v>
      </c>
      <c r="V17" s="10">
        <f t="shared" si="14"/>
        <v>1850612.4062111154</v>
      </c>
      <c r="W17" s="10">
        <f t="shared" si="14"/>
        <v>1922493.4943353378</v>
      </c>
      <c r="X17" s="10">
        <f t="shared" si="14"/>
        <v>1995812.1842220444</v>
      </c>
      <c r="Y17" s="10">
        <f t="shared" si="14"/>
        <v>2070597.2279064856</v>
      </c>
      <c r="Z17" s="10">
        <f t="shared" si="14"/>
        <v>2146877.9524646155</v>
      </c>
      <c r="AA17" s="10">
        <f t="shared" ref="AA17:AH17" si="15">AA8+AA15</f>
        <v>2224684.2715139072</v>
      </c>
      <c r="AB17" s="10">
        <f t="shared" si="15"/>
        <v>2304046.6969441855</v>
      </c>
      <c r="AC17" s="10">
        <f t="shared" si="15"/>
        <v>2384996.3508830699</v>
      </c>
      <c r="AD17" s="10">
        <f t="shared" si="15"/>
        <v>2467564.9779007318</v>
      </c>
      <c r="AE17" s="10">
        <f t="shared" si="15"/>
        <v>2551784.9574587466</v>
      </c>
      <c r="AF17" s="10">
        <f t="shared" si="15"/>
        <v>2637689.3166079218</v>
      </c>
      <c r="AG17" s="10">
        <f t="shared" si="15"/>
        <v>2725311.7429400808</v>
      </c>
      <c r="AH17" s="564">
        <f t="shared" si="15"/>
        <v>2814686.5977988821</v>
      </c>
    </row>
    <row r="18" spans="2:34">
      <c r="B18" s="744" t="s">
        <v>53</v>
      </c>
      <c r="C18" s="745"/>
      <c r="D18" s="745"/>
      <c r="E18" s="10">
        <f>-$F$41</f>
        <v>-30330000</v>
      </c>
      <c r="F18" s="10">
        <f t="shared" ref="F18:AH18" si="16">-$F$41</f>
        <v>-30330000</v>
      </c>
      <c r="G18" s="10">
        <f t="shared" si="16"/>
        <v>-30330000</v>
      </c>
      <c r="H18" s="10">
        <f t="shared" si="16"/>
        <v>-30330000</v>
      </c>
      <c r="I18" s="10">
        <f t="shared" si="16"/>
        <v>-30330000</v>
      </c>
      <c r="J18" s="10">
        <f t="shared" si="16"/>
        <v>-30330000</v>
      </c>
      <c r="K18" s="10">
        <f t="shared" si="16"/>
        <v>-30330000</v>
      </c>
      <c r="L18" s="10">
        <f t="shared" si="16"/>
        <v>-30330000</v>
      </c>
      <c r="M18" s="10">
        <f t="shared" si="16"/>
        <v>-30330000</v>
      </c>
      <c r="N18" s="10">
        <f t="shared" si="16"/>
        <v>-30330000</v>
      </c>
      <c r="O18" s="10">
        <f t="shared" si="16"/>
        <v>-30330000</v>
      </c>
      <c r="P18" s="10">
        <f t="shared" si="16"/>
        <v>-30330000</v>
      </c>
      <c r="Q18" s="10">
        <f t="shared" si="16"/>
        <v>-30330000</v>
      </c>
      <c r="R18" s="10">
        <f t="shared" si="16"/>
        <v>-30330000</v>
      </c>
      <c r="S18" s="10">
        <f t="shared" si="16"/>
        <v>-30330000</v>
      </c>
      <c r="T18" s="10">
        <f t="shared" si="16"/>
        <v>-30330000</v>
      </c>
      <c r="U18" s="10">
        <f t="shared" si="16"/>
        <v>-30330000</v>
      </c>
      <c r="V18" s="10">
        <f t="shared" si="16"/>
        <v>-30330000</v>
      </c>
      <c r="W18" s="10">
        <f t="shared" si="16"/>
        <v>-30330000</v>
      </c>
      <c r="X18" s="10">
        <f t="shared" si="16"/>
        <v>-30330000</v>
      </c>
      <c r="Y18" s="10">
        <f t="shared" si="16"/>
        <v>-30330000</v>
      </c>
      <c r="Z18" s="10">
        <f t="shared" si="16"/>
        <v>-30330000</v>
      </c>
      <c r="AA18" s="10">
        <f t="shared" si="16"/>
        <v>-30330000</v>
      </c>
      <c r="AB18" s="10">
        <f t="shared" si="16"/>
        <v>-30330000</v>
      </c>
      <c r="AC18" s="10">
        <f t="shared" si="16"/>
        <v>-30330000</v>
      </c>
      <c r="AD18" s="10">
        <f t="shared" si="16"/>
        <v>-30330000</v>
      </c>
      <c r="AE18" s="10">
        <f t="shared" si="16"/>
        <v>-30330000</v>
      </c>
      <c r="AF18" s="10">
        <f t="shared" si="16"/>
        <v>-30330000</v>
      </c>
      <c r="AG18" s="10">
        <f t="shared" si="16"/>
        <v>-30330000</v>
      </c>
      <c r="AH18" s="564">
        <f t="shared" si="16"/>
        <v>-30330000</v>
      </c>
    </row>
    <row r="19" spans="2:34">
      <c r="B19" s="746" t="s">
        <v>499</v>
      </c>
      <c r="C19" s="747"/>
      <c r="D19" s="747"/>
      <c r="E19" s="8">
        <f>-$D$45/Assumptions!$D$7</f>
        <v>-846153.84615384613</v>
      </c>
      <c r="F19" s="8">
        <f>-$D$45/Assumptions!$D$7</f>
        <v>-846153.84615384613</v>
      </c>
      <c r="G19" s="8">
        <f>-$D$45/Assumptions!$D$7</f>
        <v>-846153.84615384613</v>
      </c>
      <c r="H19" s="8">
        <f>-$D$45/Assumptions!$D$7</f>
        <v>-846153.84615384613</v>
      </c>
      <c r="I19" s="8">
        <f>-$D$45/Assumptions!$D$7</f>
        <v>-846153.84615384613</v>
      </c>
      <c r="J19" s="8">
        <f>-$D$45/Assumptions!$D$7</f>
        <v>-846153.84615384613</v>
      </c>
      <c r="K19" s="8">
        <f>-$D$45/Assumptions!$D$7</f>
        <v>-846153.84615384613</v>
      </c>
      <c r="L19" s="8">
        <f>-$D$45/Assumptions!$D$7</f>
        <v>-846153.84615384613</v>
      </c>
      <c r="M19" s="8">
        <f>-$D$45/Assumptions!$D$7</f>
        <v>-846153.84615384613</v>
      </c>
      <c r="N19" s="8">
        <f>-$D$45/Assumptions!$D$7</f>
        <v>-846153.84615384613</v>
      </c>
      <c r="O19" s="8">
        <f>-$D$45/Assumptions!$D$7</f>
        <v>-846153.84615384613</v>
      </c>
      <c r="P19" s="8">
        <f>-$D$45/Assumptions!$D$7</f>
        <v>-846153.84615384613</v>
      </c>
      <c r="Q19" s="8">
        <f>-$D$45/Assumptions!$D$7</f>
        <v>-846153.84615384613</v>
      </c>
      <c r="R19" s="8">
        <f>-$D$45/Assumptions!$D$7</f>
        <v>-846153.84615384613</v>
      </c>
      <c r="S19" s="8">
        <f>-$D$45/Assumptions!$D$7</f>
        <v>-846153.84615384613</v>
      </c>
      <c r="T19" s="8">
        <f>-$D$45/Assumptions!$D$7</f>
        <v>-846153.84615384613</v>
      </c>
      <c r="U19" s="8">
        <f>-$D$45/Assumptions!$D$7</f>
        <v>-846153.84615384613</v>
      </c>
      <c r="V19" s="8">
        <f>-$D$45/Assumptions!$D$7</f>
        <v>-846153.84615384613</v>
      </c>
      <c r="W19" s="8">
        <f>-$D$45/Assumptions!$D$7</f>
        <v>-846153.84615384613</v>
      </c>
      <c r="X19" s="8">
        <f>-$D$45/Assumptions!$D$7</f>
        <v>-846153.84615384613</v>
      </c>
      <c r="Y19" s="8">
        <f>-$D$45/Assumptions!$D$7</f>
        <v>-846153.84615384613</v>
      </c>
      <c r="Z19" s="8">
        <f>-$D$45/Assumptions!$D$7</f>
        <v>-846153.84615384613</v>
      </c>
      <c r="AA19" s="8">
        <f>-$D$45/Assumptions!$D$7</f>
        <v>-846153.84615384613</v>
      </c>
      <c r="AB19" s="8">
        <f>-$D$45/Assumptions!$D$7</f>
        <v>-846153.84615384613</v>
      </c>
      <c r="AC19" s="8">
        <f>-$D$45/Assumptions!$D$7</f>
        <v>-846153.84615384613</v>
      </c>
      <c r="AD19" s="8">
        <f>-$D$45/Assumptions!$D$7</f>
        <v>-846153.84615384613</v>
      </c>
      <c r="AE19" s="8">
        <f>-$D$45/Assumptions!$D$7</f>
        <v>-846153.84615384613</v>
      </c>
      <c r="AF19" s="8">
        <f>-$D$45/Assumptions!$D$7</f>
        <v>-846153.84615384613</v>
      </c>
      <c r="AG19" s="8">
        <f>-$D$45/Assumptions!$D$7</f>
        <v>-846153.84615384613</v>
      </c>
      <c r="AH19" s="575">
        <f>-$D$45/Assumptions!$D$7</f>
        <v>-846153.84615384613</v>
      </c>
    </row>
    <row r="20" spans="2:34">
      <c r="B20" s="470" t="s">
        <v>500</v>
      </c>
      <c r="E20" s="8">
        <f>-C46/Assumptions!D8</f>
        <v>-3401500</v>
      </c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576"/>
    </row>
    <row r="21" spans="2:34">
      <c r="B21" s="469" t="s">
        <v>534</v>
      </c>
      <c r="E21" s="8">
        <f>(143000000/50)/497</f>
        <v>5754.5271629778672</v>
      </c>
      <c r="F21" s="8">
        <f t="shared" ref="F21:AH21" si="17">(143000000/50)/497</f>
        <v>5754.5271629778672</v>
      </c>
      <c r="G21" s="8">
        <f t="shared" si="17"/>
        <v>5754.5271629778672</v>
      </c>
      <c r="H21" s="8">
        <f t="shared" si="17"/>
        <v>5754.5271629778672</v>
      </c>
      <c r="I21" s="8">
        <f t="shared" si="17"/>
        <v>5754.5271629778672</v>
      </c>
      <c r="J21" s="8">
        <f t="shared" si="17"/>
        <v>5754.5271629778672</v>
      </c>
      <c r="K21" s="8">
        <f t="shared" si="17"/>
        <v>5754.5271629778672</v>
      </c>
      <c r="L21" s="8">
        <f t="shared" si="17"/>
        <v>5754.5271629778672</v>
      </c>
      <c r="M21" s="8">
        <f t="shared" si="17"/>
        <v>5754.5271629778672</v>
      </c>
      <c r="N21" s="8">
        <f t="shared" si="17"/>
        <v>5754.5271629778672</v>
      </c>
      <c r="O21" s="8">
        <f t="shared" si="17"/>
        <v>5754.5271629778672</v>
      </c>
      <c r="P21" s="8">
        <f t="shared" si="17"/>
        <v>5754.5271629778672</v>
      </c>
      <c r="Q21" s="8">
        <f t="shared" si="17"/>
        <v>5754.5271629778672</v>
      </c>
      <c r="R21" s="8">
        <f t="shared" si="17"/>
        <v>5754.5271629778672</v>
      </c>
      <c r="S21" s="8">
        <f t="shared" si="17"/>
        <v>5754.5271629778672</v>
      </c>
      <c r="T21" s="8">
        <f t="shared" si="17"/>
        <v>5754.5271629778672</v>
      </c>
      <c r="U21" s="8">
        <f t="shared" si="17"/>
        <v>5754.5271629778672</v>
      </c>
      <c r="V21" s="8">
        <f t="shared" si="17"/>
        <v>5754.5271629778672</v>
      </c>
      <c r="W21" s="8">
        <f t="shared" si="17"/>
        <v>5754.5271629778672</v>
      </c>
      <c r="X21" s="8">
        <f t="shared" si="17"/>
        <v>5754.5271629778672</v>
      </c>
      <c r="Y21" s="8">
        <f t="shared" si="17"/>
        <v>5754.5271629778672</v>
      </c>
      <c r="Z21" s="8">
        <f t="shared" si="17"/>
        <v>5754.5271629778672</v>
      </c>
      <c r="AA21" s="8">
        <f t="shared" si="17"/>
        <v>5754.5271629778672</v>
      </c>
      <c r="AB21" s="8">
        <f t="shared" si="17"/>
        <v>5754.5271629778672</v>
      </c>
      <c r="AC21" s="8">
        <f t="shared" si="17"/>
        <v>5754.5271629778672</v>
      </c>
      <c r="AD21" s="8">
        <f t="shared" si="17"/>
        <v>5754.5271629778672</v>
      </c>
      <c r="AE21" s="8">
        <f t="shared" si="17"/>
        <v>5754.5271629778672</v>
      </c>
      <c r="AF21" s="8">
        <f t="shared" si="17"/>
        <v>5754.5271629778672</v>
      </c>
      <c r="AG21" s="8">
        <f t="shared" si="17"/>
        <v>5754.5271629778672</v>
      </c>
      <c r="AH21" s="575">
        <f t="shared" si="17"/>
        <v>5754.5271629778672</v>
      </c>
    </row>
    <row r="22" spans="2:34">
      <c r="B22" s="469" t="s">
        <v>535</v>
      </c>
      <c r="E22" s="8">
        <f>(143000000/50)/57</f>
        <v>50175.438596491229</v>
      </c>
      <c r="F22" s="8">
        <f t="shared" ref="F22:U23" si="18">(143000000/50)/57</f>
        <v>50175.438596491229</v>
      </c>
      <c r="G22" s="8">
        <f t="shared" si="18"/>
        <v>50175.438596491229</v>
      </c>
      <c r="H22" s="8">
        <f t="shared" si="18"/>
        <v>50175.438596491229</v>
      </c>
      <c r="I22" s="8">
        <f t="shared" si="18"/>
        <v>50175.438596491229</v>
      </c>
      <c r="J22" s="8">
        <f t="shared" si="18"/>
        <v>50175.438596491229</v>
      </c>
      <c r="K22" s="8">
        <f t="shared" si="18"/>
        <v>50175.438596491229</v>
      </c>
      <c r="L22" s="8">
        <f t="shared" si="18"/>
        <v>50175.438596491229</v>
      </c>
      <c r="M22" s="8">
        <f t="shared" si="18"/>
        <v>50175.438596491229</v>
      </c>
      <c r="N22" s="8">
        <f t="shared" si="18"/>
        <v>50175.438596491229</v>
      </c>
      <c r="O22" s="8">
        <f t="shared" si="18"/>
        <v>50175.438596491229</v>
      </c>
      <c r="P22" s="8">
        <f t="shared" si="18"/>
        <v>50175.438596491229</v>
      </c>
      <c r="Q22" s="8">
        <f t="shared" si="18"/>
        <v>50175.438596491229</v>
      </c>
      <c r="R22" s="8">
        <f t="shared" si="18"/>
        <v>50175.438596491229</v>
      </c>
      <c r="S22" s="8">
        <f t="shared" si="18"/>
        <v>50175.438596491229</v>
      </c>
      <c r="T22" s="8">
        <f t="shared" si="18"/>
        <v>50175.438596491229</v>
      </c>
      <c r="U22" s="8">
        <f t="shared" si="18"/>
        <v>50175.438596491229</v>
      </c>
      <c r="V22" s="8">
        <f t="shared" ref="V22:AH22" si="19">(143000000/50)/57</f>
        <v>50175.438596491229</v>
      </c>
      <c r="W22" s="8">
        <f t="shared" si="19"/>
        <v>50175.438596491229</v>
      </c>
      <c r="X22" s="8">
        <f t="shared" si="19"/>
        <v>50175.438596491229</v>
      </c>
      <c r="Y22" s="8">
        <f t="shared" si="19"/>
        <v>50175.438596491229</v>
      </c>
      <c r="Z22" s="8">
        <f t="shared" si="19"/>
        <v>50175.438596491229</v>
      </c>
      <c r="AA22" s="8">
        <f t="shared" si="19"/>
        <v>50175.438596491229</v>
      </c>
      <c r="AB22" s="8">
        <f t="shared" si="19"/>
        <v>50175.438596491229</v>
      </c>
      <c r="AC22" s="8">
        <f t="shared" si="19"/>
        <v>50175.438596491229</v>
      </c>
      <c r="AD22" s="8">
        <f t="shared" si="19"/>
        <v>50175.438596491229</v>
      </c>
      <c r="AE22" s="8">
        <f t="shared" si="19"/>
        <v>50175.438596491229</v>
      </c>
      <c r="AF22" s="8">
        <f t="shared" si="19"/>
        <v>50175.438596491229</v>
      </c>
      <c r="AG22" s="8">
        <f t="shared" si="19"/>
        <v>50175.438596491229</v>
      </c>
      <c r="AH22" s="575">
        <f t="shared" si="19"/>
        <v>50175.438596491229</v>
      </c>
    </row>
    <row r="23" spans="2:34">
      <c r="B23" s="469" t="s">
        <v>536</v>
      </c>
      <c r="E23" s="8">
        <f>$C$52</f>
        <v>459200.00000000012</v>
      </c>
      <c r="F23" s="8">
        <f t="shared" ref="F23:AH23" si="20">$C$52</f>
        <v>459200.00000000012</v>
      </c>
      <c r="G23" s="8">
        <f t="shared" si="20"/>
        <v>459200.00000000012</v>
      </c>
      <c r="H23" s="8">
        <f t="shared" si="20"/>
        <v>459200.00000000012</v>
      </c>
      <c r="I23" s="8">
        <f t="shared" si="20"/>
        <v>459200.00000000012</v>
      </c>
      <c r="J23" s="8">
        <f t="shared" si="20"/>
        <v>459200.00000000012</v>
      </c>
      <c r="K23" s="8">
        <f t="shared" si="20"/>
        <v>459200.00000000012</v>
      </c>
      <c r="L23" s="8">
        <f t="shared" si="20"/>
        <v>459200.00000000012</v>
      </c>
      <c r="M23" s="8">
        <f t="shared" si="20"/>
        <v>459200.00000000012</v>
      </c>
      <c r="N23" s="8">
        <f t="shared" si="20"/>
        <v>459200.00000000012</v>
      </c>
      <c r="O23" s="8">
        <f t="shared" si="20"/>
        <v>459200.00000000012</v>
      </c>
      <c r="P23" s="8">
        <f t="shared" si="20"/>
        <v>459200.00000000012</v>
      </c>
      <c r="Q23" s="8">
        <f t="shared" si="20"/>
        <v>459200.00000000012</v>
      </c>
      <c r="R23" s="8">
        <f t="shared" si="20"/>
        <v>459200.00000000012</v>
      </c>
      <c r="S23" s="8">
        <f t="shared" si="20"/>
        <v>459200.00000000012</v>
      </c>
      <c r="T23" s="8">
        <f t="shared" si="20"/>
        <v>459200.00000000012</v>
      </c>
      <c r="U23" s="8">
        <f t="shared" si="20"/>
        <v>459200.00000000012</v>
      </c>
      <c r="V23" s="8">
        <f t="shared" si="20"/>
        <v>459200.00000000012</v>
      </c>
      <c r="W23" s="8">
        <f t="shared" si="20"/>
        <v>459200.00000000012</v>
      </c>
      <c r="X23" s="8">
        <f t="shared" si="20"/>
        <v>459200.00000000012</v>
      </c>
      <c r="Y23" s="8">
        <f t="shared" si="20"/>
        <v>459200.00000000012</v>
      </c>
      <c r="Z23" s="8">
        <f t="shared" si="20"/>
        <v>459200.00000000012</v>
      </c>
      <c r="AA23" s="8">
        <f t="shared" si="20"/>
        <v>459200.00000000012</v>
      </c>
      <c r="AB23" s="8">
        <f t="shared" si="20"/>
        <v>459200.00000000012</v>
      </c>
      <c r="AC23" s="8">
        <f t="shared" si="20"/>
        <v>459200.00000000012</v>
      </c>
      <c r="AD23" s="8">
        <f t="shared" si="20"/>
        <v>459200.00000000012</v>
      </c>
      <c r="AE23" s="8">
        <f t="shared" si="20"/>
        <v>459200.00000000012</v>
      </c>
      <c r="AF23" s="8">
        <f t="shared" si="20"/>
        <v>459200.00000000012</v>
      </c>
      <c r="AG23" s="8">
        <f t="shared" si="20"/>
        <v>459200.00000000012</v>
      </c>
      <c r="AH23" s="575">
        <f t="shared" si="20"/>
        <v>459200.00000000012</v>
      </c>
    </row>
    <row r="24" spans="2:34">
      <c r="B24" s="469" t="s">
        <v>537</v>
      </c>
      <c r="E24" s="8">
        <v>124000000</v>
      </c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576"/>
    </row>
    <row r="25" spans="2:34">
      <c r="B25" s="746" t="s">
        <v>56</v>
      </c>
      <c r="C25" s="747"/>
      <c r="D25" s="747"/>
      <c r="E25" s="10">
        <f>E17+E18+E19+E20</f>
        <v>-33754350.449903846</v>
      </c>
      <c r="F25" s="10">
        <f>F17+F18+F19+F20</f>
        <v>-30301516.381978847</v>
      </c>
      <c r="G25" s="10">
        <f>G17+G18+G19+G20</f>
        <v>-30249155.632695347</v>
      </c>
      <c r="H25" s="10">
        <f t="shared" ref="H25:N25" si="21">H17+H18+H19+H20</f>
        <v>-30195747.668426178</v>
      </c>
      <c r="I25" s="10">
        <f t="shared" si="21"/>
        <v>-30141271.544871625</v>
      </c>
      <c r="J25" s="10">
        <f t="shared" si="21"/>
        <v>-30085705.898845982</v>
      </c>
      <c r="K25" s="10">
        <f t="shared" si="21"/>
        <v>-30029028.939899825</v>
      </c>
      <c r="L25" s="10">
        <f t="shared" si="21"/>
        <v>-29971218.441774741</v>
      </c>
      <c r="M25" s="10">
        <f t="shared" si="21"/>
        <v>-29912251.733687162</v>
      </c>
      <c r="N25" s="10">
        <f t="shared" si="21"/>
        <v>-29852105.691437826</v>
      </c>
      <c r="O25" s="10">
        <f t="shared" ref="O25:Z25" si="22">O17+O18+O19+O20</f>
        <v>-29790755.728343505</v>
      </c>
      <c r="P25" s="10">
        <f t="shared" si="22"/>
        <v>-29728178.785987299</v>
      </c>
      <c r="Q25" s="10">
        <f t="shared" si="22"/>
        <v>-29664350.32478397</v>
      </c>
      <c r="R25" s="10">
        <f t="shared" si="22"/>
        <v>-29599245.314356569</v>
      </c>
      <c r="S25" s="10">
        <f t="shared" si="22"/>
        <v>-29532838.223720625</v>
      </c>
      <c r="T25" s="10">
        <f t="shared" si="22"/>
        <v>-29465103.011271961</v>
      </c>
      <c r="U25" s="10">
        <f t="shared" si="22"/>
        <v>-29396013.114574324</v>
      </c>
      <c r="V25" s="10">
        <f t="shared" si="22"/>
        <v>-29325541.439942732</v>
      </c>
      <c r="W25" s="10">
        <f t="shared" si="22"/>
        <v>-29253660.351818509</v>
      </c>
      <c r="X25" s="10">
        <f t="shared" si="22"/>
        <v>-29180341.661931805</v>
      </c>
      <c r="Y25" s="10">
        <f t="shared" si="22"/>
        <v>-29105556.618247364</v>
      </c>
      <c r="Z25" s="10">
        <f t="shared" si="22"/>
        <v>-29029275.893689234</v>
      </c>
      <c r="AA25" s="10">
        <f t="shared" ref="AA25:AH25" si="23">AA17+AA18+AA19+AA20</f>
        <v>-28951469.574639939</v>
      </c>
      <c r="AB25" s="10">
        <f t="shared" si="23"/>
        <v>-28872107.149209663</v>
      </c>
      <c r="AC25" s="10">
        <f t="shared" si="23"/>
        <v>-28791157.495270777</v>
      </c>
      <c r="AD25" s="10">
        <f t="shared" si="23"/>
        <v>-28708588.868253116</v>
      </c>
      <c r="AE25" s="10">
        <f t="shared" si="23"/>
        <v>-28624368.888695102</v>
      </c>
      <c r="AF25" s="10">
        <f t="shared" si="23"/>
        <v>-28538464.529545926</v>
      </c>
      <c r="AG25" s="10">
        <f t="shared" si="23"/>
        <v>-28450842.103213768</v>
      </c>
      <c r="AH25" s="564">
        <f t="shared" si="23"/>
        <v>-28361467.248354964</v>
      </c>
    </row>
    <row r="26" spans="2:34">
      <c r="B26" s="748" t="s">
        <v>538</v>
      </c>
      <c r="C26" s="747"/>
      <c r="D26" s="747"/>
      <c r="E26" s="10">
        <f>Infra!E6*Infra!$I$77</f>
        <v>2735200</v>
      </c>
      <c r="F26" s="10">
        <f>Infra!F6*Infra!$I$77</f>
        <v>2502337.5</v>
      </c>
      <c r="G26" s="10">
        <f>Infra!G6*Infra!$I$77</f>
        <v>1910612.5</v>
      </c>
      <c r="H26" s="10">
        <f>Infra!H6*Infra!$I$77</f>
        <v>0</v>
      </c>
      <c r="I26" s="10">
        <f>Infra!I6*Infra!$I$77</f>
        <v>789600</v>
      </c>
      <c r="J26" s="10">
        <f>Infra!J6*Infra!$I$77</f>
        <v>3249737.5</v>
      </c>
      <c r="K26" s="10">
        <f>Infra!K6*Infra!$I$77</f>
        <v>2037825</v>
      </c>
      <c r="L26" s="10">
        <f>Infra!L6*Infra!$I$77</f>
        <v>0</v>
      </c>
      <c r="M26" s="10">
        <f>Infra!M6*Infra!$I$77</f>
        <v>0</v>
      </c>
      <c r="N26" s="10">
        <f>Infra!N6*Infra!$I$77</f>
        <v>1200000</v>
      </c>
      <c r="O26" s="10">
        <f>Infra!O6*Infra!$I$77</f>
        <v>0</v>
      </c>
      <c r="P26" s="10">
        <f>Infra!P6*Infra!$I$77</f>
        <v>14425312.5</v>
      </c>
      <c r="Q26" s="10" t="e">
        <f>Infra!Q6*Infra!$I$77</f>
        <v>#VALUE!</v>
      </c>
      <c r="R26" s="10" t="e">
        <f>Infra!R6*Infra!$I$77</f>
        <v>#VALUE!</v>
      </c>
      <c r="S26" s="10">
        <f>Infra!S6*Infra!$I$77</f>
        <v>3907100</v>
      </c>
      <c r="T26" s="10" t="e">
        <f>Infra!T6*Infra!$I$77</f>
        <v>#VALUE!</v>
      </c>
      <c r="U26" s="10">
        <f>Infra!U6*Infra!$I$77</f>
        <v>0</v>
      </c>
      <c r="V26" s="10">
        <f>Infra!V6*Infra!$I$77</f>
        <v>0</v>
      </c>
      <c r="W26" s="10">
        <f>Infra!W6*Infra!$I$77</f>
        <v>0</v>
      </c>
      <c r="X26" s="10">
        <f>Infra!X6*Infra!$I$77</f>
        <v>0</v>
      </c>
      <c r="Y26" s="10">
        <f>Infra!Y6*Infra!$I$77</f>
        <v>0</v>
      </c>
      <c r="Z26" s="10">
        <f>Infra!Z6*Infra!$I$77</f>
        <v>0</v>
      </c>
      <c r="AA26" s="10">
        <f>Infra!AA6*Infra!$I$77</f>
        <v>0</v>
      </c>
      <c r="AB26" s="10">
        <f>Infra!AB6*Infra!$I$77</f>
        <v>0</v>
      </c>
      <c r="AC26" s="10">
        <f>Infra!AC6*Infra!$I$77</f>
        <v>0</v>
      </c>
      <c r="AD26" s="10">
        <f>Infra!AD6*Infra!$I$77</f>
        <v>0</v>
      </c>
      <c r="AE26" s="10">
        <f>Infra!AE6*Infra!$I$77</f>
        <v>0</v>
      </c>
      <c r="AF26" s="10">
        <f>Infra!AF6*Infra!$I$77</f>
        <v>0</v>
      </c>
      <c r="AG26" s="10">
        <f>Infra!AG6*Infra!$I$77</f>
        <v>0</v>
      </c>
      <c r="AH26" s="564">
        <f>Infra!AH6*Infra!$I$77</f>
        <v>0</v>
      </c>
    </row>
    <row r="27" spans="2:34">
      <c r="B27" s="746" t="s">
        <v>288</v>
      </c>
      <c r="C27" s="747"/>
      <c r="D27" s="747"/>
      <c r="E27" s="10">
        <f>E25*Assumptions!$D$24</f>
        <v>-3459820.9211151442</v>
      </c>
      <c r="F27" s="10">
        <f>F25*Assumptions!$D$24</f>
        <v>-3105905.4291528314</v>
      </c>
      <c r="G27" s="10">
        <f>G25*Assumptions!$D$24</f>
        <v>-3100538.452351273</v>
      </c>
      <c r="H27" s="10">
        <f>H25*Assumptions!$D$24</f>
        <v>-3095064.1360136829</v>
      </c>
      <c r="I27" s="10">
        <f>I25*Assumptions!$D$24</f>
        <v>-3089480.3333493415</v>
      </c>
      <c r="J27" s="10">
        <f>J25*Assumptions!$D$24</f>
        <v>-3083784.8546317131</v>
      </c>
      <c r="K27" s="10">
        <f>K25*Assumptions!$D$24</f>
        <v>-3077975.4663397321</v>
      </c>
      <c r="L27" s="10">
        <f>L25*Assumptions!$D$24</f>
        <v>-3072049.8902819105</v>
      </c>
      <c r="M27" s="10">
        <f>M25*Assumptions!$D$24</f>
        <v>-3066005.802702934</v>
      </c>
      <c r="N27" s="10">
        <f>N25*Assumptions!$D$24</f>
        <v>-3059840.8333723769</v>
      </c>
      <c r="O27" s="10">
        <f>O25*Assumptions!$D$24</f>
        <v>-3053552.4621552089</v>
      </c>
      <c r="P27" s="10">
        <f>P25*Assumptions!$D$24</f>
        <v>-3047138.3255636981</v>
      </c>
      <c r="Q27" s="10">
        <f>Q25*Assumptions!$D$24</f>
        <v>-3040595.9082903569</v>
      </c>
      <c r="R27" s="10">
        <f>R25*Assumptions!$D$24</f>
        <v>-3033922.6447215481</v>
      </c>
      <c r="S27" s="10">
        <f>S25*Assumptions!$D$24</f>
        <v>-3027115.9179313639</v>
      </c>
      <c r="T27" s="10">
        <f>T25*Assumptions!$D$24</f>
        <v>-3020173.0586553756</v>
      </c>
      <c r="U27" s="10">
        <f>U25*Assumptions!$D$24</f>
        <v>-3013091.3442438683</v>
      </c>
      <c r="V27" s="10">
        <f>V25*Assumptions!$D$24</f>
        <v>-3005867.9975941298</v>
      </c>
      <c r="W27" s="10">
        <f>W25*Assumptions!$D$24</f>
        <v>-2998500.1860613972</v>
      </c>
      <c r="X27" s="10">
        <f>X25*Assumptions!$D$24</f>
        <v>-2990985.0203480097</v>
      </c>
      <c r="Y27" s="10">
        <f>Y25*Assumptions!$D$24</f>
        <v>-2983319.5533703547</v>
      </c>
      <c r="Z27" s="10">
        <f>Z25*Assumptions!$D$24</f>
        <v>-2975500.7791031464</v>
      </c>
      <c r="AA27" s="10">
        <f>AA25*Assumptions!$D$24</f>
        <v>-2967525.6314005936</v>
      </c>
      <c r="AB27" s="10">
        <f>AB25*Assumptions!$D$24</f>
        <v>-2959390.9827939905</v>
      </c>
      <c r="AC27" s="10">
        <f>AC25*Assumptions!$D$24</f>
        <v>-2951093.6432652543</v>
      </c>
      <c r="AD27" s="10">
        <f>AD25*Assumptions!$D$24</f>
        <v>-2942630.3589959443</v>
      </c>
      <c r="AE27" s="10">
        <f>AE25*Assumptions!$D$24</f>
        <v>-2933997.8110912479</v>
      </c>
      <c r="AF27" s="10">
        <f>AF25*Assumptions!$D$24</f>
        <v>-2925192.6142784571</v>
      </c>
      <c r="AG27" s="10">
        <f>AG25*Assumptions!$D$24</f>
        <v>-2916211.3155794111</v>
      </c>
      <c r="AH27" s="564">
        <f>AH25*Assumptions!$D$24</f>
        <v>-2907050.3929563835</v>
      </c>
    </row>
    <row r="28" spans="2:34">
      <c r="B28" s="746" t="s">
        <v>59</v>
      </c>
      <c r="C28" s="747"/>
      <c r="D28" s="747"/>
      <c r="E28" s="10">
        <f>E17-E27</f>
        <v>4283124.3173651434</v>
      </c>
      <c r="F28" s="10">
        <f t="shared" ref="F28:N28" si="24">F17-F27</f>
        <v>3980542.8933278313</v>
      </c>
      <c r="G28" s="10">
        <f t="shared" si="24"/>
        <v>4027536.6658097729</v>
      </c>
      <c r="H28" s="10">
        <f t="shared" si="24"/>
        <v>4075470.3137413524</v>
      </c>
      <c r="I28" s="10">
        <f t="shared" si="24"/>
        <v>4124362.6346315648</v>
      </c>
      <c r="J28" s="10">
        <f t="shared" si="24"/>
        <v>4174232.8019395806</v>
      </c>
      <c r="K28" s="10">
        <f t="shared" si="24"/>
        <v>4225100.3725937568</v>
      </c>
      <c r="L28" s="10">
        <f t="shared" si="24"/>
        <v>4276985.2946610153</v>
      </c>
      <c r="M28" s="10">
        <f t="shared" si="24"/>
        <v>4329907.9151696209</v>
      </c>
      <c r="N28" s="10">
        <f t="shared" si="24"/>
        <v>4383888.9880883973</v>
      </c>
      <c r="O28" s="10">
        <f t="shared" ref="O28:Z28" si="25">O17-O27</f>
        <v>4438950.5799655505</v>
      </c>
      <c r="P28" s="10">
        <f t="shared" si="25"/>
        <v>4495113.3857302461</v>
      </c>
      <c r="Q28" s="10">
        <f t="shared" si="25"/>
        <v>4552399.4296602365</v>
      </c>
      <c r="R28" s="10">
        <f t="shared" si="25"/>
        <v>4610831.1765188258</v>
      </c>
      <c r="S28" s="10">
        <f t="shared" si="25"/>
        <v>4670431.5403645867</v>
      </c>
      <c r="T28" s="10">
        <f t="shared" si="25"/>
        <v>4731223.8935372634</v>
      </c>
      <c r="U28" s="10">
        <f t="shared" si="25"/>
        <v>4793232.0758233937</v>
      </c>
      <c r="V28" s="10">
        <f t="shared" si="25"/>
        <v>4856480.4038052447</v>
      </c>
      <c r="W28" s="10">
        <f t="shared" si="25"/>
        <v>4920993.6803967347</v>
      </c>
      <c r="X28" s="10">
        <f t="shared" si="25"/>
        <v>4986797.2045700541</v>
      </c>
      <c r="Y28" s="10">
        <f t="shared" si="25"/>
        <v>5053916.7812768407</v>
      </c>
      <c r="Z28" s="10">
        <f t="shared" si="25"/>
        <v>5122378.7315677619</v>
      </c>
      <c r="AA28" s="10">
        <f t="shared" ref="AA28:AH28" si="26">AA17-AA27</f>
        <v>5192209.9029145008</v>
      </c>
      <c r="AB28" s="10">
        <f t="shared" si="26"/>
        <v>5263437.6797381761</v>
      </c>
      <c r="AC28" s="10">
        <f t="shared" si="26"/>
        <v>5336089.9941483242</v>
      </c>
      <c r="AD28" s="10">
        <f t="shared" si="26"/>
        <v>5410195.3368966766</v>
      </c>
      <c r="AE28" s="10">
        <f t="shared" si="26"/>
        <v>5485782.7685499946</v>
      </c>
      <c r="AF28" s="10">
        <f t="shared" si="26"/>
        <v>5562881.9308863785</v>
      </c>
      <c r="AG28" s="10">
        <f t="shared" si="26"/>
        <v>5641523.0585194919</v>
      </c>
      <c r="AH28" s="564">
        <f t="shared" si="26"/>
        <v>5721736.9907552656</v>
      </c>
    </row>
    <row r="29" spans="2:34">
      <c r="B29" s="469" t="s">
        <v>539</v>
      </c>
      <c r="E29" s="10">
        <v>674000000</v>
      </c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564"/>
    </row>
    <row r="30" spans="2:34">
      <c r="B30" s="746" t="s">
        <v>502</v>
      </c>
      <c r="C30" s="747"/>
      <c r="D30" s="747"/>
      <c r="E30" s="10">
        <f>$F$41</f>
        <v>30330000</v>
      </c>
      <c r="F30" s="10">
        <f t="shared" ref="F30:AH30" si="27">$F$41</f>
        <v>30330000</v>
      </c>
      <c r="G30" s="10">
        <f t="shared" si="27"/>
        <v>30330000</v>
      </c>
      <c r="H30" s="10">
        <f t="shared" si="27"/>
        <v>30330000</v>
      </c>
      <c r="I30" s="10">
        <f t="shared" si="27"/>
        <v>30330000</v>
      </c>
      <c r="J30" s="10">
        <f t="shared" si="27"/>
        <v>30330000</v>
      </c>
      <c r="K30" s="10">
        <f t="shared" si="27"/>
        <v>30330000</v>
      </c>
      <c r="L30" s="10">
        <f t="shared" si="27"/>
        <v>30330000</v>
      </c>
      <c r="M30" s="10">
        <f t="shared" si="27"/>
        <v>30330000</v>
      </c>
      <c r="N30" s="10">
        <f t="shared" si="27"/>
        <v>30330000</v>
      </c>
      <c r="O30" s="10">
        <f t="shared" si="27"/>
        <v>30330000</v>
      </c>
      <c r="P30" s="10">
        <f t="shared" si="27"/>
        <v>30330000</v>
      </c>
      <c r="Q30" s="10">
        <f t="shared" si="27"/>
        <v>30330000</v>
      </c>
      <c r="R30" s="10">
        <f t="shared" si="27"/>
        <v>30330000</v>
      </c>
      <c r="S30" s="10">
        <f t="shared" si="27"/>
        <v>30330000</v>
      </c>
      <c r="T30" s="10">
        <f t="shared" si="27"/>
        <v>30330000</v>
      </c>
      <c r="U30" s="10">
        <f t="shared" si="27"/>
        <v>30330000</v>
      </c>
      <c r="V30" s="10">
        <f t="shared" si="27"/>
        <v>30330000</v>
      </c>
      <c r="W30" s="10">
        <f t="shared" si="27"/>
        <v>30330000</v>
      </c>
      <c r="X30" s="10">
        <f t="shared" si="27"/>
        <v>30330000</v>
      </c>
      <c r="Y30" s="10">
        <f t="shared" si="27"/>
        <v>30330000</v>
      </c>
      <c r="Z30" s="10">
        <f t="shared" si="27"/>
        <v>30330000</v>
      </c>
      <c r="AA30" s="10">
        <f t="shared" si="27"/>
        <v>30330000</v>
      </c>
      <c r="AB30" s="10">
        <f t="shared" si="27"/>
        <v>30330000</v>
      </c>
      <c r="AC30" s="10">
        <f t="shared" si="27"/>
        <v>30330000</v>
      </c>
      <c r="AD30" s="10">
        <f t="shared" si="27"/>
        <v>30330000</v>
      </c>
      <c r="AE30" s="10">
        <f t="shared" si="27"/>
        <v>30330000</v>
      </c>
      <c r="AF30" s="10">
        <f t="shared" si="27"/>
        <v>30330000</v>
      </c>
      <c r="AG30" s="10">
        <f t="shared" si="27"/>
        <v>30330000</v>
      </c>
      <c r="AH30" s="564">
        <f t="shared" si="27"/>
        <v>30330000</v>
      </c>
    </row>
    <row r="31" spans="2:34">
      <c r="B31" s="569" t="s">
        <v>503</v>
      </c>
      <c r="E31" s="10">
        <f>E29</f>
        <v>674000000</v>
      </c>
      <c r="F31" s="10">
        <f>E31+F15</f>
        <v>672059543.41667497</v>
      </c>
      <c r="G31" s="10">
        <f t="shared" ref="G31:M31" si="28">F31+G15</f>
        <v>670115145.70168352</v>
      </c>
      <c r="H31" s="10">
        <f t="shared" si="28"/>
        <v>668166728.03239214</v>
      </c>
      <c r="I31" s="10">
        <f t="shared" si="28"/>
        <v>666214210.00971496</v>
      </c>
      <c r="J31" s="10">
        <f t="shared" si="28"/>
        <v>664257509.62658429</v>
      </c>
      <c r="K31" s="10">
        <f t="shared" si="28"/>
        <v>662296543.23579097</v>
      </c>
      <c r="L31" s="10">
        <f t="shared" si="28"/>
        <v>660331225.51718175</v>
      </c>
      <c r="M31" s="10">
        <f t="shared" si="28"/>
        <v>658361469.4442004</v>
      </c>
      <c r="N31" s="10">
        <f>M31+N15</f>
        <v>656387186.24975944</v>
      </c>
      <c r="O31" s="10">
        <f t="shared" ref="O31:Z31" si="29">N31+O15</f>
        <v>654408286.39142966</v>
      </c>
      <c r="P31" s="10">
        <f t="shared" si="29"/>
        <v>652424677.51593328</v>
      </c>
      <c r="Q31" s="10">
        <f t="shared" si="29"/>
        <v>650436265.4229269</v>
      </c>
      <c r="R31" s="10">
        <f t="shared" si="29"/>
        <v>648442954.02806044</v>
      </c>
      <c r="S31" s="10">
        <f t="shared" si="29"/>
        <v>646444645.32529664</v>
      </c>
      <c r="T31" s="10">
        <f t="shared" si="29"/>
        <v>644441239.3484776</v>
      </c>
      <c r="U31" s="10">
        <f t="shared" si="29"/>
        <v>642432634.13212216</v>
      </c>
      <c r="V31" s="10">
        <f t="shared" si="29"/>
        <v>640418725.67143965</v>
      </c>
      <c r="W31" s="10">
        <f t="shared" si="29"/>
        <v>638399407.8815434</v>
      </c>
      <c r="X31" s="10">
        <f t="shared" si="29"/>
        <v>636374572.55584931</v>
      </c>
      <c r="Y31" s="10">
        <f t="shared" si="29"/>
        <v>634344109.3236413</v>
      </c>
      <c r="Z31" s="10">
        <f t="shared" si="29"/>
        <v>632307905.60678911</v>
      </c>
      <c r="AA31" s="10">
        <f t="shared" ref="AA31:AH31" si="30">Z31+AA15</f>
        <v>630265846.57559991</v>
      </c>
      <c r="AB31" s="10">
        <f t="shared" si="30"/>
        <v>628217815.10378695</v>
      </c>
      <c r="AC31" s="10">
        <f t="shared" si="30"/>
        <v>626163691.72253764</v>
      </c>
      <c r="AD31" s="10">
        <f t="shared" si="30"/>
        <v>624103354.57366335</v>
      </c>
      <c r="AE31" s="10">
        <f t="shared" si="30"/>
        <v>622036679.36181164</v>
      </c>
      <c r="AF31" s="10">
        <f t="shared" si="30"/>
        <v>619963539.30572283</v>
      </c>
      <c r="AG31" s="10">
        <f t="shared" si="30"/>
        <v>617883805.0885123</v>
      </c>
      <c r="AH31" s="564">
        <f t="shared" si="30"/>
        <v>615797344.8069576</v>
      </c>
    </row>
    <row r="32" spans="2:34">
      <c r="B32" s="749" t="s">
        <v>62</v>
      </c>
      <c r="C32" s="750"/>
      <c r="D32" s="750"/>
      <c r="E32" s="446">
        <f>E28/E30</f>
        <v>0.14121741897016629</v>
      </c>
      <c r="F32" s="446">
        <f t="shared" ref="F32:N32" si="31">F28/F30</f>
        <v>0.13124111089112533</v>
      </c>
      <c r="G32" s="446">
        <f t="shared" si="31"/>
        <v>0.13279052640322364</v>
      </c>
      <c r="H32" s="446">
        <f t="shared" si="31"/>
        <v>0.13437093022556387</v>
      </c>
      <c r="I32" s="446">
        <f t="shared" si="31"/>
        <v>0.13598294212435097</v>
      </c>
      <c r="J32" s="446">
        <f t="shared" si="31"/>
        <v>0.13762719426111378</v>
      </c>
      <c r="K32" s="446">
        <f t="shared" si="31"/>
        <v>0.13930433144061183</v>
      </c>
      <c r="L32" s="446">
        <f t="shared" si="31"/>
        <v>0.14101501136369982</v>
      </c>
      <c r="M32" s="446">
        <f t="shared" si="31"/>
        <v>0.14275990488524962</v>
      </c>
      <c r="N32" s="446">
        <f t="shared" si="31"/>
        <v>0.14453969627723037</v>
      </c>
      <c r="O32" s="446">
        <f t="shared" ref="O32:Z32" si="32">O28/O30</f>
        <v>0.14635511308821467</v>
      </c>
      <c r="P32" s="446">
        <f t="shared" si="32"/>
        <v>0.14820683764359532</v>
      </c>
      <c r="Q32" s="446">
        <f t="shared" si="32"/>
        <v>0.15009559609826034</v>
      </c>
      <c r="R32" s="446">
        <f t="shared" si="32"/>
        <v>0.15202212913019539</v>
      </c>
      <c r="S32" s="446">
        <f t="shared" si="32"/>
        <v>0.15398719223094581</v>
      </c>
      <c r="T32" s="446">
        <f t="shared" si="32"/>
        <v>0.15599155600188802</v>
      </c>
      <c r="U32" s="446">
        <f t="shared" si="32"/>
        <v>0.15803600645642576</v>
      </c>
      <c r="V32" s="446">
        <f t="shared" si="32"/>
        <v>0.16012134532823094</v>
      </c>
      <c r="W32" s="446">
        <f t="shared" si="32"/>
        <v>0.16224839038564901</v>
      </c>
      <c r="X32" s="446">
        <f t="shared" si="32"/>
        <v>0.16441797575239214</v>
      </c>
      <c r="Y32" s="446">
        <f t="shared" si="32"/>
        <v>0.16663095223464691</v>
      </c>
      <c r="Z32" s="446">
        <f t="shared" si="32"/>
        <v>0.16888818765472344</v>
      </c>
      <c r="AA32" s="446">
        <f t="shared" ref="AA32:AH32" si="33">AA28/AA30</f>
        <v>0.17119056719137821</v>
      </c>
      <c r="AB32" s="446">
        <f t="shared" si="33"/>
        <v>0.17353899372694284</v>
      </c>
      <c r="AC32" s="446">
        <f t="shared" si="33"/>
        <v>0.17593438820139545</v>
      </c>
      <c r="AD32" s="446">
        <f t="shared" si="33"/>
        <v>0.17837768997351389</v>
      </c>
      <c r="AE32" s="446">
        <f t="shared" si="33"/>
        <v>0.18086985718925139</v>
      </c>
      <c r="AF32" s="446">
        <f t="shared" si="33"/>
        <v>0.18341186715748034</v>
      </c>
      <c r="AG32" s="446">
        <f t="shared" si="33"/>
        <v>0.18600471673325064</v>
      </c>
      <c r="AH32" s="566">
        <f t="shared" si="33"/>
        <v>0.18864942270871302</v>
      </c>
    </row>
    <row r="33" spans="2:34">
      <c r="B33" s="469" t="s">
        <v>504</v>
      </c>
      <c r="E33" s="10">
        <f>SUM(-E26,E17,E31)</f>
        <v>672088103.39625001</v>
      </c>
      <c r="F33" s="10">
        <f t="shared" ref="F33:N33" si="34">SUM(-F26,F17,F31)</f>
        <v>670431843.38084996</v>
      </c>
      <c r="G33" s="10">
        <f t="shared" si="34"/>
        <v>669131531.41514206</v>
      </c>
      <c r="H33" s="10">
        <f t="shared" si="34"/>
        <v>669147134.21011984</v>
      </c>
      <c r="I33" s="10">
        <f t="shared" si="34"/>
        <v>666459492.31099713</v>
      </c>
      <c r="J33" s="10">
        <f t="shared" si="34"/>
        <v>662098220.07389212</v>
      </c>
      <c r="K33" s="10">
        <f t="shared" si="34"/>
        <v>661405843.14204502</v>
      </c>
      <c r="L33" s="10">
        <f t="shared" si="34"/>
        <v>661536160.92156088</v>
      </c>
      <c r="M33" s="10">
        <f t="shared" si="34"/>
        <v>659625371.55666709</v>
      </c>
      <c r="N33" s="10">
        <f t="shared" si="34"/>
        <v>656511234.40447545</v>
      </c>
      <c r="O33" s="10">
        <f t="shared" ref="O33:Z33" si="35">SUM(-O26,O17,O31)</f>
        <v>655793684.50924003</v>
      </c>
      <c r="P33" s="10">
        <f t="shared" si="35"/>
        <v>639447340.07609987</v>
      </c>
      <c r="Q33" s="10" t="e">
        <f t="shared" si="35"/>
        <v>#VALUE!</v>
      </c>
      <c r="R33" s="10" t="e">
        <f t="shared" si="35"/>
        <v>#VALUE!</v>
      </c>
      <c r="S33" s="10">
        <f t="shared" si="35"/>
        <v>644180860.94772983</v>
      </c>
      <c r="T33" s="10" t="e">
        <f t="shared" si="35"/>
        <v>#VALUE!</v>
      </c>
      <c r="U33" s="10">
        <f t="shared" si="35"/>
        <v>644212774.8637017</v>
      </c>
      <c r="V33" s="10">
        <f t="shared" si="35"/>
        <v>642269338.07765079</v>
      </c>
      <c r="W33" s="10">
        <f t="shared" si="35"/>
        <v>640321901.37587869</v>
      </c>
      <c r="X33" s="10">
        <f t="shared" si="35"/>
        <v>638370384.74007142</v>
      </c>
      <c r="Y33" s="10">
        <f t="shared" si="35"/>
        <v>636414706.55154777</v>
      </c>
      <c r="Z33" s="10">
        <f t="shared" si="35"/>
        <v>634454783.55925369</v>
      </c>
      <c r="AA33" s="10">
        <f t="shared" ref="AA33:AH33" si="36">SUM(-AA26,AA17,AA31)</f>
        <v>632490530.84711385</v>
      </c>
      <c r="AB33" s="10">
        <f t="shared" si="36"/>
        <v>630521861.80073118</v>
      </c>
      <c r="AC33" s="10">
        <f t="shared" si="36"/>
        <v>628548688.07342076</v>
      </c>
      <c r="AD33" s="10">
        <f t="shared" si="36"/>
        <v>626570919.5515641</v>
      </c>
      <c r="AE33" s="10">
        <f t="shared" si="36"/>
        <v>624588464.31927037</v>
      </c>
      <c r="AF33" s="10">
        <f t="shared" si="36"/>
        <v>622601228.62233078</v>
      </c>
      <c r="AG33" s="10">
        <f t="shared" si="36"/>
        <v>620609116.83145237</v>
      </c>
      <c r="AH33" s="564">
        <f t="shared" si="36"/>
        <v>618612031.40475643</v>
      </c>
    </row>
    <row r="34" spans="2:34" ht="14.1" thickBot="1">
      <c r="B34" s="740" t="s">
        <v>63</v>
      </c>
      <c r="C34" s="741"/>
      <c r="D34" s="741"/>
      <c r="E34" s="21">
        <f>((E32-1))*E30</f>
        <v>-26046875.682634857</v>
      </c>
      <c r="F34" s="21">
        <f t="shared" ref="F34:N34" si="37">((F32-1))*F30</f>
        <v>-26349457.106672168</v>
      </c>
      <c r="G34" s="21">
        <f t="shared" si="37"/>
        <v>-26302463.334190227</v>
      </c>
      <c r="H34" s="21">
        <f t="shared" si="37"/>
        <v>-26254529.686258648</v>
      </c>
      <c r="I34" s="21">
        <f t="shared" si="37"/>
        <v>-26205637.365368433</v>
      </c>
      <c r="J34" s="21">
        <f t="shared" si="37"/>
        <v>-26155767.198060419</v>
      </c>
      <c r="K34" s="21">
        <f t="shared" si="37"/>
        <v>-26104899.627406243</v>
      </c>
      <c r="L34" s="21">
        <f t="shared" si="37"/>
        <v>-26053014.705338985</v>
      </c>
      <c r="M34" s="21">
        <f t="shared" si="37"/>
        <v>-26000092.084830381</v>
      </c>
      <c r="N34" s="21">
        <f t="shared" si="37"/>
        <v>-25946111.011911601</v>
      </c>
      <c r="O34" s="21">
        <f t="shared" ref="O34:Z34" si="38">((O32-1))*O30</f>
        <v>-25891049.42003445</v>
      </c>
      <c r="P34" s="21">
        <f t="shared" si="38"/>
        <v>-25834886.614269752</v>
      </c>
      <c r="Q34" s="21">
        <f t="shared" si="38"/>
        <v>-25777600.570339762</v>
      </c>
      <c r="R34" s="21">
        <f t="shared" si="38"/>
        <v>-25719168.823481172</v>
      </c>
      <c r="S34" s="21">
        <f t="shared" si="38"/>
        <v>-25659568.459635414</v>
      </c>
      <c r="T34" s="21">
        <f t="shared" si="38"/>
        <v>-25598776.106462736</v>
      </c>
      <c r="U34" s="21">
        <f t="shared" si="38"/>
        <v>-25536767.924176607</v>
      </c>
      <c r="V34" s="21">
        <f t="shared" si="38"/>
        <v>-25473519.596194755</v>
      </c>
      <c r="W34" s="21">
        <f t="shared" si="38"/>
        <v>-25409006.319603268</v>
      </c>
      <c r="X34" s="21">
        <f t="shared" si="38"/>
        <v>-25343202.795429945</v>
      </c>
      <c r="Y34" s="21">
        <f t="shared" si="38"/>
        <v>-25276083.218723159</v>
      </c>
      <c r="Z34" s="21">
        <f t="shared" si="38"/>
        <v>-25207621.268432237</v>
      </c>
      <c r="AA34" s="21">
        <f t="shared" ref="AA34:AH34" si="39">((AA32-1))*AA30</f>
        <v>-25137790.097085498</v>
      </c>
      <c r="AB34" s="21">
        <f t="shared" si="39"/>
        <v>-25066562.320261825</v>
      </c>
      <c r="AC34" s="21">
        <f t="shared" si="39"/>
        <v>-24993910.005851675</v>
      </c>
      <c r="AD34" s="21">
        <f t="shared" si="39"/>
        <v>-24919804.663103323</v>
      </c>
      <c r="AE34" s="21">
        <f t="shared" si="39"/>
        <v>-24844217.231450006</v>
      </c>
      <c r="AF34" s="21">
        <f t="shared" si="39"/>
        <v>-24767118.06911362</v>
      </c>
      <c r="AG34" s="21">
        <f t="shared" si="39"/>
        <v>-24688476.94148051</v>
      </c>
      <c r="AH34" s="568">
        <f t="shared" si="39"/>
        <v>-24608263.009244736</v>
      </c>
    </row>
    <row r="35" spans="2:34">
      <c r="B35" s="70"/>
      <c r="C35" s="70"/>
      <c r="D35" s="70"/>
      <c r="F35" s="8"/>
      <c r="G35" s="8"/>
      <c r="H35" s="8"/>
      <c r="I35" s="8"/>
      <c r="J35" s="8"/>
      <c r="K35" s="8"/>
      <c r="L35" s="8"/>
      <c r="M35" s="8"/>
      <c r="N35" s="8"/>
    </row>
    <row r="37" spans="2:34">
      <c r="B37" t="s">
        <v>505</v>
      </c>
      <c r="C37" s="14">
        <f>Assumptions!B19</f>
        <v>5.8299999999999998E-2</v>
      </c>
    </row>
    <row r="38" spans="2:34">
      <c r="B38" t="s">
        <v>506</v>
      </c>
      <c r="C38" s="7">
        <f>N17/C37</f>
        <v>22710946.050017513</v>
      </c>
      <c r="D38" s="7"/>
      <c r="E38" t="s">
        <v>489</v>
      </c>
      <c r="F38" s="8">
        <v>674000000</v>
      </c>
      <c r="H38">
        <f>E15/F38</f>
        <v>-2.8732829803412466E-3</v>
      </c>
      <c r="I38" s="18"/>
      <c r="J38" s="6"/>
      <c r="K38" s="6"/>
      <c r="L38" s="6"/>
    </row>
    <row r="39" spans="2:34">
      <c r="C39" s="7"/>
      <c r="E39" t="s">
        <v>491</v>
      </c>
      <c r="F39" s="429">
        <f>(F38*Assumptions!D17)/12</f>
        <v>2527500</v>
      </c>
      <c r="J39" s="6"/>
      <c r="K39" s="6"/>
      <c r="L39" s="6"/>
    </row>
    <row r="40" spans="2:34">
      <c r="B40" t="s">
        <v>508</v>
      </c>
      <c r="C40" s="7">
        <v>350000</v>
      </c>
      <c r="E40" t="s">
        <v>492</v>
      </c>
      <c r="F40" s="429">
        <f>F39*12</f>
        <v>30330000</v>
      </c>
      <c r="J40" s="6"/>
      <c r="K40" s="6"/>
      <c r="L40" s="6"/>
    </row>
    <row r="41" spans="2:34">
      <c r="B41" t="s">
        <v>510</v>
      </c>
      <c r="C41" s="7">
        <f>C40*Assumptions!B10</f>
        <v>238104999.99999997</v>
      </c>
      <c r="E41" t="s">
        <v>511</v>
      </c>
      <c r="F41" s="6">
        <f>F40</f>
        <v>30330000</v>
      </c>
      <c r="J41" s="6"/>
      <c r="K41" s="6"/>
      <c r="L41" s="6"/>
    </row>
    <row r="42" spans="2:34">
      <c r="B42" s="70" t="s">
        <v>512</v>
      </c>
      <c r="C42" s="144">
        <v>0.03</v>
      </c>
      <c r="D42" s="70" t="s">
        <v>540</v>
      </c>
      <c r="F42" s="6"/>
      <c r="J42" s="6"/>
      <c r="K42" s="6"/>
      <c r="L42" s="6"/>
    </row>
    <row r="43" spans="2:34">
      <c r="B43" t="s">
        <v>513</v>
      </c>
      <c r="C43" s="7">
        <f>(C38+C41)/2</f>
        <v>130407973.02500874</v>
      </c>
      <c r="E43" s="70"/>
      <c r="J43" s="6"/>
      <c r="K43" s="6"/>
      <c r="L43" s="6"/>
    </row>
    <row r="44" spans="2:34">
      <c r="C44" s="7"/>
      <c r="J44" s="6"/>
      <c r="K44" s="6"/>
      <c r="L44" s="6"/>
    </row>
    <row r="45" spans="2:34">
      <c r="B45" t="s">
        <v>514</v>
      </c>
      <c r="C45" s="8">
        <v>500000000</v>
      </c>
      <c r="D45" s="65">
        <v>33000000</v>
      </c>
      <c r="J45" s="6"/>
      <c r="K45" s="6"/>
      <c r="L45" s="6"/>
    </row>
    <row r="46" spans="2:34">
      <c r="B46" t="s">
        <v>515</v>
      </c>
      <c r="C46" s="8">
        <f>Assumptions!B13*Assumptions!B10</f>
        <v>3401500</v>
      </c>
      <c r="I46" s="19"/>
      <c r="J46" s="6"/>
      <c r="K46" s="6"/>
      <c r="L46" s="6"/>
    </row>
    <row r="47" spans="2:34">
      <c r="B47" t="s">
        <v>516</v>
      </c>
      <c r="C47" s="8">
        <f>C45*0.8</f>
        <v>400000000</v>
      </c>
      <c r="I47" s="19"/>
      <c r="J47" s="6"/>
      <c r="K47" s="6"/>
      <c r="L47" s="6"/>
    </row>
    <row r="48" spans="2:34">
      <c r="B48" s="70" t="s">
        <v>541</v>
      </c>
      <c r="C48" s="8">
        <f>C47*Assumptions!D4</f>
        <v>56000000.000000007</v>
      </c>
    </row>
    <row r="49" spans="2:3">
      <c r="B49" s="70" t="s">
        <v>518</v>
      </c>
      <c r="C49" s="2">
        <v>8.2000000000000007E-3</v>
      </c>
    </row>
    <row r="51" spans="2:3">
      <c r="B51" t="s">
        <v>519</v>
      </c>
      <c r="C51" s="15">
        <f>C48*C49</f>
        <v>459200.00000000012</v>
      </c>
    </row>
    <row r="52" spans="2:3">
      <c r="B52" t="s">
        <v>520</v>
      </c>
      <c r="C52" s="15">
        <f>C51</f>
        <v>459200.00000000012</v>
      </c>
    </row>
    <row r="53" spans="2:3">
      <c r="B53" t="s">
        <v>521</v>
      </c>
      <c r="C53" s="15">
        <f>C51+C52</f>
        <v>918400.00000000023</v>
      </c>
    </row>
  </sheetData>
  <mergeCells count="24">
    <mergeCell ref="B34:D34"/>
    <mergeCell ref="B14:D14"/>
    <mergeCell ref="B15:D15"/>
    <mergeCell ref="B17:D17"/>
    <mergeCell ref="B18:D18"/>
    <mergeCell ref="B19:D19"/>
    <mergeCell ref="B25:D25"/>
    <mergeCell ref="B26:D26"/>
    <mergeCell ref="B27:D27"/>
    <mergeCell ref="B28:D28"/>
    <mergeCell ref="B30:D30"/>
    <mergeCell ref="B32:D32"/>
    <mergeCell ref="B13:D13"/>
    <mergeCell ref="B2:N2"/>
    <mergeCell ref="B3:D3"/>
    <mergeCell ref="B4:D4"/>
    <mergeCell ref="B5:D5"/>
    <mergeCell ref="B6:D6"/>
    <mergeCell ref="B7:D7"/>
    <mergeCell ref="B8:D8"/>
    <mergeCell ref="B9:D9"/>
    <mergeCell ref="B10:D10"/>
    <mergeCell ref="B11:D11"/>
    <mergeCell ref="B12:D12"/>
  </mergeCells>
  <pageMargins left="0.7" right="0.7" top="0.75" bottom="0.75" header="0.3" footer="0.3"/>
  <pageSetup orientation="portrait" horizontalDpi="90" verticalDpi="9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8655D-D1BC-476D-86F0-F7FA687E4247}">
  <sheetPr>
    <tabColor theme="6" tint="0.79998168889431442"/>
  </sheetPr>
  <dimension ref="B1:R44"/>
  <sheetViews>
    <sheetView zoomScale="92" workbookViewId="0">
      <selection activeCell="G33" sqref="G33"/>
    </sheetView>
  </sheetViews>
  <sheetFormatPr defaultColWidth="9" defaultRowHeight="12.95"/>
  <cols>
    <col min="1" max="1" width="9.33203125"/>
    <col min="2" max="2" width="34.1640625" bestFit="1" customWidth="1"/>
    <col min="3" max="3" width="16.6640625" customWidth="1"/>
    <col min="4" max="4" width="12.33203125" bestFit="1" customWidth="1"/>
    <col min="5" max="5" width="15.1640625" bestFit="1" customWidth="1"/>
    <col min="6" max="6" width="18.33203125" bestFit="1" customWidth="1"/>
    <col min="7" max="11" width="14" customWidth="1"/>
    <col min="12" max="12" width="14.83203125" customWidth="1"/>
    <col min="13" max="14" width="14" customWidth="1"/>
  </cols>
  <sheetData>
    <row r="1" spans="2:14" ht="14.1" thickBot="1"/>
    <row r="2" spans="2:14" ht="18">
      <c r="B2" s="727" t="s">
        <v>542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9"/>
    </row>
    <row r="3" spans="2:14" ht="18">
      <c r="B3" s="730" t="s">
        <v>39</v>
      </c>
      <c r="C3" s="731"/>
      <c r="D3" s="731"/>
      <c r="E3" s="54">
        <v>2024</v>
      </c>
      <c r="F3" s="54">
        <v>2025</v>
      </c>
      <c r="G3" s="54">
        <v>2026</v>
      </c>
      <c r="H3" s="54">
        <v>2027</v>
      </c>
      <c r="I3" s="425">
        <v>2028</v>
      </c>
      <c r="J3" s="54">
        <v>2029</v>
      </c>
      <c r="K3" s="425">
        <v>2030</v>
      </c>
      <c r="L3" s="54">
        <v>2031</v>
      </c>
      <c r="M3" s="54">
        <v>2032</v>
      </c>
      <c r="N3" s="556">
        <v>2033</v>
      </c>
    </row>
    <row r="4" spans="2:14" ht="12.95" customHeight="1">
      <c r="B4" s="732" t="s">
        <v>40</v>
      </c>
      <c r="C4" s="733"/>
      <c r="D4" s="733"/>
      <c r="E4" s="10">
        <f>((Infra!E18*Assumptions!$B$74))*(1-Assumptions!$B$72+0.5)</f>
        <v>1903640</v>
      </c>
      <c r="F4" s="10">
        <f>((Infra!F18+Infra!E18)*Assumptions!$B$74)*(1-Assumptions!$B$72+0.5)</f>
        <v>3318616</v>
      </c>
      <c r="G4" s="10">
        <f>((Infra!G18+Infra!F18+Infra!E18)*Assumptions!$B$74)*(1-Assumptions!$B$72+0.5)</f>
        <v>5180360</v>
      </c>
      <c r="H4" s="10">
        <f>((Infra!H18+Infra!G18+Infra!F18+Infra!E18)*Assumptions!$B$74)*(1-Assumptions!$B$72+0.5)</f>
        <v>6516480</v>
      </c>
      <c r="I4" s="10">
        <f>((Infra!I18+Infra!H18+Infra!G18+Infra!F18+Infra!E18)*Assumptions!$B$74)*(1-Assumptions!$B$72+0.5)</f>
        <v>7369912</v>
      </c>
      <c r="J4" s="10">
        <f>((Infra!J18+Infra!I18+Infra!H18+Infra!G18+Infra!F18+Infra!E18)*Assumptions!$B$74)*(1-Assumptions!$B$72+0.5)</f>
        <v>8159840</v>
      </c>
      <c r="K4" s="10">
        <f>((Infra!K18+Infra!J18+Infra!I18+Infra!H18+Infra!G18+Infra!F18+Infra!E18)*Assumptions!$B$74)*(1-Assumptions!$B$72+0.5)</f>
        <v>8701248</v>
      </c>
      <c r="L4" s="10">
        <f>((Infra!L18+Infra!K18+Infra!J18+Infra!I18+Infra!H18+Infra!G18+Infra!F18+Infra!E18)*Assumptions!$B$74)*(1-Assumptions!$B$72+0.5)</f>
        <v>8701248</v>
      </c>
      <c r="M4" s="10">
        <f>((Infra!M18+Infra!L18+Infra!K18+Infra!J18+Infra!I18+Infra!H18+Infra!G18+Infra!F18+Infra!E18)*Assumptions!$B$74)*(1-Assumptions!$B$72+0.5)</f>
        <v>10184808</v>
      </c>
      <c r="N4" s="564">
        <f>((Infra!N18+Infra!M18+Infra!L18+Infra!K18+Infra!J18+Infra!I18+Infra!H18+Infra!G18+Infra!F18+Infra!E18)*Assumptions!$B$74)*(1-Assumptions!$B$72+0.5)</f>
        <v>12200152</v>
      </c>
    </row>
    <row r="5" spans="2:14">
      <c r="B5" s="725" t="s">
        <v>41</v>
      </c>
      <c r="C5" s="726"/>
      <c r="D5" s="726"/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10">
        <v>0</v>
      </c>
      <c r="K5" s="10">
        <v>0</v>
      </c>
      <c r="L5" s="10">
        <v>0</v>
      </c>
      <c r="M5" s="10">
        <v>0</v>
      </c>
      <c r="N5" s="564">
        <v>0</v>
      </c>
    </row>
    <row r="6" spans="2:14">
      <c r="B6" s="734" t="s">
        <v>42</v>
      </c>
      <c r="C6" s="735"/>
      <c r="D6" s="735"/>
      <c r="E6" s="10">
        <f>E4+E5</f>
        <v>1903640</v>
      </c>
      <c r="F6" s="10">
        <f t="shared" ref="F6:N6" si="0">F4+F5</f>
        <v>3318616</v>
      </c>
      <c r="G6" s="10">
        <f t="shared" si="0"/>
        <v>5180360</v>
      </c>
      <c r="H6" s="10">
        <f t="shared" si="0"/>
        <v>6516480</v>
      </c>
      <c r="I6" s="10">
        <f t="shared" si="0"/>
        <v>7369912</v>
      </c>
      <c r="J6" s="10">
        <f t="shared" si="0"/>
        <v>8159840</v>
      </c>
      <c r="K6" s="10">
        <f t="shared" si="0"/>
        <v>8701248</v>
      </c>
      <c r="L6" s="10">
        <f t="shared" si="0"/>
        <v>8701248</v>
      </c>
      <c r="M6" s="10">
        <f t="shared" si="0"/>
        <v>10184808</v>
      </c>
      <c r="N6" s="564">
        <f t="shared" si="0"/>
        <v>12200152</v>
      </c>
    </row>
    <row r="7" spans="2:14">
      <c r="B7" s="736" t="s">
        <v>543</v>
      </c>
      <c r="C7" s="737"/>
      <c r="D7" s="737"/>
      <c r="E7" s="10">
        <v>0</v>
      </c>
      <c r="F7" s="10">
        <f>E7*(1+Assumptions!$B$69)</f>
        <v>0</v>
      </c>
      <c r="G7" s="10">
        <f>F7*(1+Assumptions!$B$69)</f>
        <v>0</v>
      </c>
      <c r="H7" s="10">
        <f>G7*(1+Assumptions!$B$69)</f>
        <v>0</v>
      </c>
      <c r="I7" s="10">
        <f>H7*(1+Assumptions!$B$69)</f>
        <v>0</v>
      </c>
      <c r="J7" s="10">
        <f>I7*(1+Assumptions!$B$69)</f>
        <v>0</v>
      </c>
      <c r="K7" s="10">
        <f>J7*(1+Assumptions!$B$69)</f>
        <v>0</v>
      </c>
      <c r="L7" s="10">
        <f>K7*(1+Assumptions!$B$69)</f>
        <v>0</v>
      </c>
      <c r="M7" s="10">
        <f>L7*(1+Assumptions!$B$69)</f>
        <v>0</v>
      </c>
      <c r="N7" s="564">
        <f>M7*(1+Assumptions!$B$69)</f>
        <v>0</v>
      </c>
    </row>
    <row r="8" spans="2:14">
      <c r="B8" s="736" t="s">
        <v>44</v>
      </c>
      <c r="C8" s="737"/>
      <c r="D8" s="737"/>
      <c r="E8" s="10">
        <f>E6+E7</f>
        <v>1903640</v>
      </c>
      <c r="F8" s="10">
        <f t="shared" ref="F8:N8" si="1">F6+F7</f>
        <v>3318616</v>
      </c>
      <c r="G8" s="10">
        <f t="shared" si="1"/>
        <v>5180360</v>
      </c>
      <c r="H8" s="10">
        <f t="shared" si="1"/>
        <v>6516480</v>
      </c>
      <c r="I8" s="10">
        <f t="shared" si="1"/>
        <v>7369912</v>
      </c>
      <c r="J8" s="10">
        <f t="shared" si="1"/>
        <v>8159840</v>
      </c>
      <c r="K8" s="10">
        <f t="shared" si="1"/>
        <v>8701248</v>
      </c>
      <c r="L8" s="10">
        <f t="shared" si="1"/>
        <v>8701248</v>
      </c>
      <c r="M8" s="10">
        <f t="shared" si="1"/>
        <v>10184808</v>
      </c>
      <c r="N8" s="564">
        <f t="shared" si="1"/>
        <v>12200152</v>
      </c>
    </row>
    <row r="9" spans="2:14">
      <c r="B9" s="738" t="s">
        <v>45</v>
      </c>
      <c r="C9" s="739"/>
      <c r="D9" s="739"/>
      <c r="E9" s="1"/>
      <c r="F9" s="3"/>
      <c r="G9" s="4"/>
      <c r="H9" s="5"/>
      <c r="I9" s="5"/>
      <c r="J9" s="4"/>
      <c r="K9" s="5"/>
      <c r="L9" s="5"/>
      <c r="M9" s="5"/>
      <c r="N9" s="558"/>
    </row>
    <row r="10" spans="2:14">
      <c r="B10" s="725" t="s">
        <v>46</v>
      </c>
      <c r="C10" s="726"/>
      <c r="D10" s="726"/>
      <c r="E10" s="559"/>
      <c r="F10" s="560"/>
      <c r="G10" s="561"/>
      <c r="H10" s="562"/>
      <c r="I10" s="562"/>
      <c r="J10" s="561"/>
      <c r="K10" s="562"/>
      <c r="L10" s="562"/>
      <c r="M10" s="562"/>
      <c r="N10" s="563"/>
    </row>
    <row r="11" spans="2:14">
      <c r="B11" s="725" t="s">
        <v>544</v>
      </c>
      <c r="C11" s="726"/>
      <c r="D11" s="726"/>
      <c r="E11" s="16">
        <v>-208350</v>
      </c>
      <c r="F11" s="16">
        <v>-208350</v>
      </c>
      <c r="G11" s="16">
        <v>-208350</v>
      </c>
      <c r="H11" s="16">
        <v>-208350</v>
      </c>
      <c r="I11" s="16">
        <v>-208350</v>
      </c>
      <c r="J11" s="16">
        <v>-208350</v>
      </c>
      <c r="K11" s="16">
        <v>-208350</v>
      </c>
      <c r="L11" s="16">
        <v>-208350</v>
      </c>
      <c r="M11" s="16">
        <v>-208350</v>
      </c>
      <c r="N11" s="557">
        <v>-208350</v>
      </c>
    </row>
    <row r="12" spans="2:14">
      <c r="B12" s="725" t="s">
        <v>48</v>
      </c>
      <c r="C12" s="726"/>
      <c r="D12" s="726"/>
      <c r="E12" s="10">
        <f>-E6*Assumptions!$D$6</f>
        <v>-76145.600000000006</v>
      </c>
      <c r="F12" s="10">
        <f>-F6*Assumptions!$D$6</f>
        <v>-132744.64000000001</v>
      </c>
      <c r="G12" s="10">
        <f>-G6*Assumptions!$D$6</f>
        <v>-207214.4</v>
      </c>
      <c r="H12" s="10">
        <f>-H6*Assumptions!$D$6</f>
        <v>-260659.20000000001</v>
      </c>
      <c r="I12" s="10">
        <f>-I6*Assumptions!$D$6</f>
        <v>-294796.48</v>
      </c>
      <c r="J12" s="10">
        <f>-J6*Assumptions!$D$6</f>
        <v>-326393.60000000003</v>
      </c>
      <c r="K12" s="10">
        <f>-K6*Assumptions!$D$6</f>
        <v>-348049.91999999998</v>
      </c>
      <c r="L12" s="10">
        <f>-L6*Assumptions!$D$6</f>
        <v>-348049.91999999998</v>
      </c>
      <c r="M12" s="10">
        <f>-M6*Assumptions!$D$6</f>
        <v>-407392.32</v>
      </c>
      <c r="N12" s="564">
        <f>-N6*Assumptions!$D$6</f>
        <v>-488006.08</v>
      </c>
    </row>
    <row r="13" spans="2:14">
      <c r="B13" s="725" t="s">
        <v>49</v>
      </c>
      <c r="C13" s="726"/>
      <c r="D13" s="726"/>
      <c r="E13" s="10">
        <f>-$D$38*Assumptions!$D$10</f>
        <v>-183750</v>
      </c>
      <c r="F13" s="10">
        <f>-$D$38*Assumptions!$D$10</f>
        <v>-183750</v>
      </c>
      <c r="G13" s="10">
        <f>-$D$38*Assumptions!$D$10</f>
        <v>-183750</v>
      </c>
      <c r="H13" s="10">
        <f>-$D$38*Assumptions!$D$10</f>
        <v>-183750</v>
      </c>
      <c r="I13" s="10">
        <f>-$D$38*Assumptions!$D$10</f>
        <v>-183750</v>
      </c>
      <c r="J13" s="10">
        <f>-$D$38*Assumptions!$D$10</f>
        <v>-183750</v>
      </c>
      <c r="K13" s="10">
        <f>-$D$38*Assumptions!$D$10</f>
        <v>-183750</v>
      </c>
      <c r="L13" s="10">
        <f>-$D$38*Assumptions!$D$10</f>
        <v>-183750</v>
      </c>
      <c r="M13" s="10">
        <f>-$D$38*Assumptions!$D$10</f>
        <v>-183750</v>
      </c>
      <c r="N13" s="564">
        <f>-$D$38*Assumptions!$D$10</f>
        <v>-183750</v>
      </c>
    </row>
    <row r="14" spans="2:14">
      <c r="B14" s="725" t="s">
        <v>284</v>
      </c>
      <c r="C14" s="726"/>
      <c r="D14" s="726"/>
      <c r="E14" s="10">
        <f>-Assumptions!$B$75</f>
        <v>-1014466.0875000001</v>
      </c>
      <c r="F14" s="10">
        <f>-Assumptions!$B$75</f>
        <v>-1014466.0875000001</v>
      </c>
      <c r="G14" s="10">
        <f>-Assumptions!$B$75</f>
        <v>-1014466.0875000001</v>
      </c>
      <c r="H14" s="10">
        <f>-Assumptions!$B$75</f>
        <v>-1014466.0875000001</v>
      </c>
      <c r="I14" s="10">
        <f>-Assumptions!$B$75</f>
        <v>-1014466.0875000001</v>
      </c>
      <c r="J14" s="10">
        <f>-Assumptions!$B$75</f>
        <v>-1014466.0875000001</v>
      </c>
      <c r="K14" s="10">
        <f>-Assumptions!$B$75</f>
        <v>-1014466.0875000001</v>
      </c>
      <c r="L14" s="10">
        <f>-Assumptions!$B$75</f>
        <v>-1014466.0875000001</v>
      </c>
      <c r="M14" s="10">
        <f>-Assumptions!$B$75</f>
        <v>-1014466.0875000001</v>
      </c>
      <c r="N14" s="564">
        <f>-Assumptions!$B$75</f>
        <v>-1014466.0875000001</v>
      </c>
    </row>
    <row r="15" spans="2:14">
      <c r="B15" s="742" t="s">
        <v>51</v>
      </c>
      <c r="C15" s="743"/>
      <c r="D15" s="743"/>
      <c r="E15" s="12">
        <f>E12+E14+E11+E13</f>
        <v>-1482711.6875000002</v>
      </c>
      <c r="F15" s="12">
        <f t="shared" ref="F15:N15" si="2">F12+F14+F11+F13</f>
        <v>-1539310.7275</v>
      </c>
      <c r="G15" s="12">
        <f t="shared" si="2"/>
        <v>-1613780.4875</v>
      </c>
      <c r="H15" s="12">
        <f t="shared" si="2"/>
        <v>-1667225.2875000001</v>
      </c>
      <c r="I15" s="12">
        <f t="shared" si="2"/>
        <v>-1701362.5675000001</v>
      </c>
      <c r="J15" s="12">
        <f t="shared" si="2"/>
        <v>-1732959.6875000002</v>
      </c>
      <c r="K15" s="12">
        <f t="shared" si="2"/>
        <v>-1754616.0075000001</v>
      </c>
      <c r="L15" s="12">
        <f t="shared" si="2"/>
        <v>-1754616.0075000001</v>
      </c>
      <c r="M15" s="12">
        <f t="shared" si="2"/>
        <v>-1813958.4075000002</v>
      </c>
      <c r="N15" s="565">
        <f t="shared" si="2"/>
        <v>-1894572.1675000002</v>
      </c>
    </row>
    <row r="16" spans="2:14">
      <c r="B16" s="652"/>
      <c r="C16" s="653"/>
      <c r="D16" s="653"/>
      <c r="E16" s="653"/>
      <c r="F16" s="653"/>
      <c r="G16" s="653"/>
      <c r="H16" s="653"/>
      <c r="I16" s="653"/>
      <c r="J16" s="653"/>
      <c r="K16" s="653"/>
      <c r="L16" s="653"/>
      <c r="M16" s="653"/>
      <c r="N16" s="654"/>
    </row>
    <row r="17" spans="2:16">
      <c r="B17" s="736" t="s">
        <v>52</v>
      </c>
      <c r="C17" s="737"/>
      <c r="D17" s="737"/>
      <c r="E17" s="10">
        <f>E8+E15</f>
        <v>420928.31249999977</v>
      </c>
      <c r="F17" s="10">
        <f t="shared" ref="F17:N17" si="3">F8+F15</f>
        <v>1779305.2725</v>
      </c>
      <c r="G17" s="10">
        <f t="shared" si="3"/>
        <v>3566579.5125000002</v>
      </c>
      <c r="H17" s="10">
        <f t="shared" si="3"/>
        <v>4849254.7125000004</v>
      </c>
      <c r="I17" s="10">
        <f t="shared" si="3"/>
        <v>5668549.4325000001</v>
      </c>
      <c r="J17" s="10">
        <f t="shared" si="3"/>
        <v>6426880.3125</v>
      </c>
      <c r="K17" s="10">
        <f t="shared" si="3"/>
        <v>6946631.9924999997</v>
      </c>
      <c r="L17" s="10">
        <f t="shared" si="3"/>
        <v>6946631.9924999997</v>
      </c>
      <c r="M17" s="10">
        <f t="shared" si="3"/>
        <v>8370849.5924999993</v>
      </c>
      <c r="N17" s="564">
        <f t="shared" si="3"/>
        <v>10305579.8325</v>
      </c>
    </row>
    <row r="18" spans="2:16">
      <c r="B18" s="470" t="s">
        <v>53</v>
      </c>
      <c r="E18" s="10">
        <f>-$F$38</f>
        <v>1501956.195207645</v>
      </c>
      <c r="F18" s="10">
        <f>-$F$38</f>
        <v>1501956.195207645</v>
      </c>
      <c r="G18" s="10">
        <f>-$F$38</f>
        <v>1501956.195207645</v>
      </c>
      <c r="H18" s="10">
        <f>-$F$38</f>
        <v>1501956.195207645</v>
      </c>
      <c r="I18" s="10">
        <f>-$F$38</f>
        <v>1501956.195207645</v>
      </c>
      <c r="J18" s="10">
        <f>-$F$38</f>
        <v>1501956.195207645</v>
      </c>
      <c r="K18" s="10">
        <f>-$F$38</f>
        <v>1501956.195207645</v>
      </c>
      <c r="L18" s="10">
        <f>-$F$38</f>
        <v>1501956.195207645</v>
      </c>
      <c r="M18" s="10">
        <f>-$F$38</f>
        <v>1501956.195207645</v>
      </c>
      <c r="N18" s="564">
        <f>-$F$38</f>
        <v>1501956.195207645</v>
      </c>
    </row>
    <row r="19" spans="2:16">
      <c r="B19" s="470" t="s">
        <v>523</v>
      </c>
      <c r="E19" s="10">
        <f>-$D$38/Assumptions!$D$7</f>
        <v>-188461.53846153847</v>
      </c>
      <c r="F19" s="10">
        <f>-$D$38/Assumptions!$D$7</f>
        <v>-188461.53846153847</v>
      </c>
      <c r="G19" s="10">
        <f>-$D$38/Assumptions!$D$7</f>
        <v>-188461.53846153847</v>
      </c>
      <c r="H19" s="10">
        <f>-$D$38/Assumptions!$D$7</f>
        <v>-188461.53846153847</v>
      </c>
      <c r="I19" s="10">
        <f>-$D$38/Assumptions!$D$7</f>
        <v>-188461.53846153847</v>
      </c>
      <c r="J19" s="10">
        <f>-$D$38/Assumptions!$D$7</f>
        <v>-188461.53846153847</v>
      </c>
      <c r="K19" s="10">
        <f>-$D$38/Assumptions!$D$7</f>
        <v>-188461.53846153847</v>
      </c>
      <c r="L19" s="10">
        <f>-$D$38/Assumptions!$D$7</f>
        <v>-188461.53846153847</v>
      </c>
      <c r="M19" s="10">
        <f>-$D$38/Assumptions!$D$7</f>
        <v>-188461.53846153847</v>
      </c>
      <c r="N19" s="564">
        <f>-$D$38/Assumptions!$D$7</f>
        <v>-188461.53846153847</v>
      </c>
    </row>
    <row r="20" spans="2:16">
      <c r="B20" s="470" t="s">
        <v>545</v>
      </c>
      <c r="E20" s="10">
        <f>-C38/Assumptions!D8</f>
        <v>-100000</v>
      </c>
      <c r="F20" s="10"/>
      <c r="G20" s="10"/>
      <c r="H20" s="10"/>
      <c r="I20" s="10"/>
      <c r="J20" s="10"/>
      <c r="K20" s="10"/>
      <c r="L20" s="10"/>
      <c r="M20" s="10"/>
      <c r="N20" s="564"/>
    </row>
    <row r="21" spans="2:16">
      <c r="B21" s="470" t="s">
        <v>56</v>
      </c>
      <c r="E21" s="10">
        <f>E17+E18+E19+E20</f>
        <v>1634422.9692461062</v>
      </c>
      <c r="F21" s="10">
        <f t="shared" ref="F21:N21" si="4">F17+F18+F19+F20</f>
        <v>3092799.9292461067</v>
      </c>
      <c r="G21" s="10">
        <f t="shared" si="4"/>
        <v>4880074.1692461073</v>
      </c>
      <c r="H21" s="10">
        <f t="shared" si="4"/>
        <v>6162749.3692461075</v>
      </c>
      <c r="I21" s="10">
        <f t="shared" si="4"/>
        <v>6982044.0892461073</v>
      </c>
      <c r="J21" s="10">
        <f t="shared" si="4"/>
        <v>7740374.9692461072</v>
      </c>
      <c r="K21" s="10">
        <f t="shared" si="4"/>
        <v>8260126.6492461059</v>
      </c>
      <c r="L21" s="10">
        <f t="shared" si="4"/>
        <v>8260126.6492461059</v>
      </c>
      <c r="M21" s="10">
        <f t="shared" si="4"/>
        <v>9684344.2492461056</v>
      </c>
      <c r="N21" s="564">
        <f t="shared" si="4"/>
        <v>11619074.489246106</v>
      </c>
    </row>
    <row r="22" spans="2:16">
      <c r="B22" s="469" t="s">
        <v>546</v>
      </c>
      <c r="E22" s="10">
        <f>Infra!E12*Infra!$I$82</f>
        <v>365816</v>
      </c>
      <c r="F22" s="10">
        <f>Infra!F12*Infra!$I$82</f>
        <v>255730</v>
      </c>
      <c r="G22" s="10">
        <f>Infra!G12*Infra!$I$82</f>
        <v>324496</v>
      </c>
      <c r="H22" s="10">
        <f>Infra!H12*Infra!$I$82</f>
        <v>207180</v>
      </c>
      <c r="I22" s="10">
        <f>Infra!I12*Infra!$I$82</f>
        <v>0</v>
      </c>
      <c r="J22" s="10">
        <f>Infra!J12*Infra!$I$82</f>
        <v>128302</v>
      </c>
      <c r="K22" s="10">
        <f>Infra!K12*Infra!$I$82</f>
        <v>90248</v>
      </c>
      <c r="L22" s="10">
        <f>Infra!L12*Infra!$I$82</f>
        <v>0</v>
      </c>
      <c r="M22" s="10">
        <f>Infra!M12*Infra!$I$82</f>
        <v>357396</v>
      </c>
      <c r="N22" s="564">
        <f>Infra!N12*Infra!$I$82</f>
        <v>357396</v>
      </c>
    </row>
    <row r="23" spans="2:16">
      <c r="B23" s="469" t="s">
        <v>547</v>
      </c>
      <c r="E23" s="10">
        <f>Infra!E10*Infra!$I$83</f>
        <v>110094</v>
      </c>
      <c r="F23" s="10">
        <f>Infra!F10*Infra!$I$83</f>
        <v>98014</v>
      </c>
      <c r="G23" s="10">
        <f>Infra!G10*Infra!$I$83</f>
        <v>140940</v>
      </c>
      <c r="H23" s="10">
        <f>Infra!H10*Infra!$I$83</f>
        <v>126850</v>
      </c>
      <c r="I23" s="10">
        <f>Infra!I10*Infra!$I$83</f>
        <v>84688</v>
      </c>
      <c r="J23" s="10">
        <f>Infra!J10*Infra!$I$83</f>
        <v>51136</v>
      </c>
      <c r="K23" s="10">
        <f>Infra!K10*Infra!$I$83</f>
        <v>45104</v>
      </c>
      <c r="L23" s="10">
        <f>Infra!L10*Infra!$I$83</f>
        <v>0</v>
      </c>
      <c r="M23" s="10">
        <f>Infra!M10*Infra!$I$83</f>
        <v>13494</v>
      </c>
      <c r="N23" s="564">
        <f>Infra!N10*Infra!$I$83</f>
        <v>126440</v>
      </c>
    </row>
    <row r="24" spans="2:16">
      <c r="B24" s="469" t="s">
        <v>548</v>
      </c>
      <c r="E24" s="10">
        <f>Infra!$I$84*Infra!E14</f>
        <v>0</v>
      </c>
      <c r="F24" s="10">
        <f>Infra!$I$84*Infra!F14</f>
        <v>0</v>
      </c>
      <c r="G24" s="10">
        <f>Infra!$I$84*Infra!G14</f>
        <v>0</v>
      </c>
      <c r="H24" s="10">
        <f>Infra!$I$84*Infra!H14</f>
        <v>0</v>
      </c>
      <c r="I24" s="10">
        <f>Infra!$I$84*Infra!I14</f>
        <v>0</v>
      </c>
      <c r="J24" s="10">
        <f>Infra!$I$84*Infra!J14</f>
        <v>18044</v>
      </c>
      <c r="K24" s="10">
        <f>Infra!$I$84*Infra!K14</f>
        <v>0</v>
      </c>
      <c r="L24" s="10">
        <f>Infra!$I$84*Infra!L14</f>
        <v>0</v>
      </c>
      <c r="M24" s="10">
        <f>Infra!$I$84*Infra!M14</f>
        <v>0</v>
      </c>
      <c r="N24" s="564">
        <f>Infra!$I$84*Infra!N14</f>
        <v>20000</v>
      </c>
    </row>
    <row r="25" spans="2:16">
      <c r="B25" s="469" t="s">
        <v>549</v>
      </c>
      <c r="E25" s="10">
        <f>SUM(E22:E24)</f>
        <v>475910</v>
      </c>
      <c r="F25" s="10">
        <f t="shared" ref="F25:N25" si="5">SUM(F22:F24)</f>
        <v>353744</v>
      </c>
      <c r="G25" s="10">
        <f t="shared" si="5"/>
        <v>465436</v>
      </c>
      <c r="H25" s="10">
        <f t="shared" si="5"/>
        <v>334030</v>
      </c>
      <c r="I25" s="10">
        <f t="shared" si="5"/>
        <v>84688</v>
      </c>
      <c r="J25" s="10">
        <f t="shared" si="5"/>
        <v>197482</v>
      </c>
      <c r="K25" s="10">
        <f t="shared" si="5"/>
        <v>135352</v>
      </c>
      <c r="L25" s="10">
        <f t="shared" si="5"/>
        <v>0</v>
      </c>
      <c r="M25" s="10">
        <f t="shared" si="5"/>
        <v>370890</v>
      </c>
      <c r="N25" s="564">
        <f t="shared" si="5"/>
        <v>503836</v>
      </c>
    </row>
    <row r="26" spans="2:16">
      <c r="B26" s="469" t="s">
        <v>550</v>
      </c>
      <c r="E26" s="434">
        <f>Assumptions!$B$63</f>
        <v>6763.1072500000009</v>
      </c>
      <c r="F26" s="434">
        <f>Assumptions!$B$63</f>
        <v>6763.1072500000009</v>
      </c>
      <c r="G26" s="434">
        <f>Assumptions!$B$63</f>
        <v>6763.1072500000009</v>
      </c>
      <c r="H26" s="434">
        <f>Assumptions!$B$63</f>
        <v>6763.1072500000009</v>
      </c>
      <c r="I26" s="434">
        <f>Assumptions!$B$63</f>
        <v>6763.1072500000009</v>
      </c>
      <c r="J26" s="434">
        <f>Assumptions!$B$63</f>
        <v>6763.1072500000009</v>
      </c>
      <c r="K26" s="434">
        <f>Assumptions!$B$63</f>
        <v>6763.1072500000009</v>
      </c>
      <c r="L26" s="434">
        <f>Assumptions!$B$63</f>
        <v>6763.1072500000009</v>
      </c>
      <c r="M26" s="434">
        <f>Assumptions!$B$63</f>
        <v>6763.1072500000009</v>
      </c>
      <c r="N26" s="570">
        <f>Assumptions!$B$63</f>
        <v>6763.1072500000009</v>
      </c>
    </row>
    <row r="27" spans="2:16">
      <c r="B27" s="470" t="s">
        <v>58</v>
      </c>
      <c r="E27" s="10">
        <f>E21*0.3</f>
        <v>490326.89077383187</v>
      </c>
      <c r="F27" s="10">
        <f t="shared" ref="F27:N27" si="6">F21*0.3</f>
        <v>927839.97877383197</v>
      </c>
      <c r="G27" s="10">
        <f t="shared" si="6"/>
        <v>1464022.2507738322</v>
      </c>
      <c r="H27" s="10">
        <f t="shared" si="6"/>
        <v>1848824.8107738323</v>
      </c>
      <c r="I27" s="10">
        <f t="shared" si="6"/>
        <v>2094613.226773832</v>
      </c>
      <c r="J27" s="10">
        <f t="shared" si="6"/>
        <v>2322112.490773832</v>
      </c>
      <c r="K27" s="10">
        <f t="shared" si="6"/>
        <v>2478037.9947738317</v>
      </c>
      <c r="L27" s="10">
        <f t="shared" si="6"/>
        <v>2478037.9947738317</v>
      </c>
      <c r="M27" s="10">
        <f t="shared" si="6"/>
        <v>2905303.2747738315</v>
      </c>
      <c r="N27" s="564">
        <f t="shared" si="6"/>
        <v>3485722.3467738316</v>
      </c>
    </row>
    <row r="28" spans="2:16">
      <c r="B28" s="470" t="s">
        <v>59</v>
      </c>
      <c r="E28" s="10">
        <f>E17-E27</f>
        <v>-69398.5782738321</v>
      </c>
      <c r="F28" s="10">
        <f t="shared" ref="F28:N28" si="7">F17-F27</f>
        <v>851465.29372616799</v>
      </c>
      <c r="G28" s="10">
        <f t="shared" si="7"/>
        <v>2102557.261726168</v>
      </c>
      <c r="H28" s="10">
        <f t="shared" si="7"/>
        <v>3000429.9017261681</v>
      </c>
      <c r="I28" s="10">
        <f t="shared" si="7"/>
        <v>3573936.2057261681</v>
      </c>
      <c r="J28" s="10">
        <f t="shared" si="7"/>
        <v>4104767.821726168</v>
      </c>
      <c r="K28" s="10">
        <f t="shared" si="7"/>
        <v>4468593.9977261685</v>
      </c>
      <c r="L28" s="10">
        <f t="shared" si="7"/>
        <v>4468593.9977261685</v>
      </c>
      <c r="M28" s="10">
        <f t="shared" si="7"/>
        <v>5465546.3177261679</v>
      </c>
      <c r="N28" s="564">
        <f t="shared" si="7"/>
        <v>6819857.4857261684</v>
      </c>
    </row>
    <row r="29" spans="2:16">
      <c r="B29" s="470" t="s">
        <v>502</v>
      </c>
      <c r="E29" s="10">
        <f>$F$37</f>
        <v>-1501956.195207645</v>
      </c>
      <c r="F29" s="10">
        <f>$F$37</f>
        <v>-1501956.195207645</v>
      </c>
      <c r="G29" s="10">
        <f>$F$37</f>
        <v>-1501956.195207645</v>
      </c>
      <c r="H29" s="10">
        <f>$F$37</f>
        <v>-1501956.195207645</v>
      </c>
      <c r="I29" s="10">
        <f>$F$37</f>
        <v>-1501956.195207645</v>
      </c>
      <c r="J29" s="10">
        <f>$F$37</f>
        <v>-1501956.195207645</v>
      </c>
      <c r="K29" s="10">
        <f>$F$37</f>
        <v>-1501956.195207645</v>
      </c>
      <c r="L29" s="10">
        <f>$F$37</f>
        <v>-1501956.195207645</v>
      </c>
      <c r="M29" s="10">
        <f>$F$37</f>
        <v>-1501956.195207645</v>
      </c>
      <c r="N29" s="564">
        <f>$F$37</f>
        <v>-1501956.195207645</v>
      </c>
    </row>
    <row r="30" spans="2:16">
      <c r="B30" s="470" t="s">
        <v>62</v>
      </c>
      <c r="E30" s="446">
        <f>E28/E29</f>
        <v>4.6205460915081993E-2</v>
      </c>
      <c r="F30" s="446">
        <f t="shared" ref="F30:N30" si="8">F28/F29</f>
        <v>-0.56690421228193888</v>
      </c>
      <c r="G30" s="446">
        <f t="shared" si="8"/>
        <v>-1.3998792164744127</v>
      </c>
      <c r="H30" s="446">
        <f t="shared" si="8"/>
        <v>-1.9976813646761247</v>
      </c>
      <c r="I30" s="446">
        <f t="shared" si="8"/>
        <v>-2.3795209321880875</v>
      </c>
      <c r="J30" s="446">
        <f t="shared" si="8"/>
        <v>-2.732947761608111</v>
      </c>
      <c r="K30" s="446">
        <f t="shared" si="8"/>
        <v>-2.9751826398028784</v>
      </c>
      <c r="L30" s="446">
        <f t="shared" si="8"/>
        <v>-2.9751826398028784</v>
      </c>
      <c r="M30" s="446">
        <f t="shared" si="8"/>
        <v>-3.638951878333947</v>
      </c>
      <c r="N30" s="566">
        <f t="shared" si="8"/>
        <v>-4.5406500585613454</v>
      </c>
    </row>
    <row r="31" spans="2:16">
      <c r="B31" s="469" t="s">
        <v>504</v>
      </c>
      <c r="E31" s="10">
        <f>SUM(E21,E17,-E25)</f>
        <v>1579441.281746106</v>
      </c>
      <c r="F31" s="10">
        <f t="shared" ref="F31:N31" si="9">SUM(F21,F17,-F25)</f>
        <v>4518361.2017461061</v>
      </c>
      <c r="G31" s="10">
        <f t="shared" si="9"/>
        <v>7981217.6817461066</v>
      </c>
      <c r="H31" s="10">
        <f t="shared" si="9"/>
        <v>10677974.081746109</v>
      </c>
      <c r="I31" s="10">
        <f t="shared" si="9"/>
        <v>12565905.521746106</v>
      </c>
      <c r="J31" s="10">
        <f t="shared" si="9"/>
        <v>13969773.281746108</v>
      </c>
      <c r="K31" s="10">
        <f t="shared" si="9"/>
        <v>15071406.641746106</v>
      </c>
      <c r="L31" s="10">
        <f t="shared" si="9"/>
        <v>15206758.641746106</v>
      </c>
      <c r="M31" s="10">
        <f t="shared" si="9"/>
        <v>17684303.841746107</v>
      </c>
      <c r="N31" s="564">
        <f t="shared" si="9"/>
        <v>21420818.321746103</v>
      </c>
    </row>
    <row r="32" spans="2:16" ht="14.1" thickBot="1">
      <c r="B32" s="567" t="s">
        <v>63</v>
      </c>
      <c r="C32" s="20"/>
      <c r="D32" s="20"/>
      <c r="E32" s="21">
        <f>((E30-1))*E29</f>
        <v>1432557.6169338129</v>
      </c>
      <c r="F32" s="21">
        <f t="shared" ref="F32:N32" si="10">((F30-1))*F29</f>
        <v>2353421.4889338128</v>
      </c>
      <c r="G32" s="21">
        <f t="shared" si="10"/>
        <v>3604513.4569338132</v>
      </c>
      <c r="H32" s="21">
        <f t="shared" si="10"/>
        <v>4502386.0969338138</v>
      </c>
      <c r="I32" s="21">
        <f t="shared" si="10"/>
        <v>5075892.4009338133</v>
      </c>
      <c r="J32" s="21">
        <f t="shared" si="10"/>
        <v>5606724.0169338137</v>
      </c>
      <c r="K32" s="21">
        <f t="shared" si="10"/>
        <v>5970550.1929338137</v>
      </c>
      <c r="L32" s="21">
        <f t="shared" si="10"/>
        <v>5970550.1929338137</v>
      </c>
      <c r="M32" s="21">
        <f t="shared" si="10"/>
        <v>6967502.5129338121</v>
      </c>
      <c r="N32" s="568">
        <f t="shared" si="10"/>
        <v>8321813.6809338136</v>
      </c>
      <c r="P32" s="17"/>
    </row>
    <row r="34" spans="2:18">
      <c r="B34" t="s">
        <v>505</v>
      </c>
      <c r="C34" s="14">
        <v>7.0000000000000007E-2</v>
      </c>
    </row>
    <row r="35" spans="2:18">
      <c r="B35" t="s">
        <v>7</v>
      </c>
      <c r="C35" s="10">
        <f>N17/C34</f>
        <v>147222569.03571427</v>
      </c>
      <c r="D35" s="7"/>
      <c r="E35" t="s">
        <v>489</v>
      </c>
      <c r="F35" s="10">
        <f>D38-TIF!F3</f>
        <v>-33376804.337947667</v>
      </c>
      <c r="I35" s="18"/>
      <c r="J35" s="6"/>
      <c r="K35" s="6"/>
      <c r="L35" s="6"/>
    </row>
    <row r="36" spans="2:18">
      <c r="C36" s="10"/>
      <c r="E36" s="70" t="s">
        <v>507</v>
      </c>
      <c r="F36" s="10">
        <f>(F35*Assumptions!D17)/12</f>
        <v>-125163.01626730374</v>
      </c>
      <c r="J36" s="6"/>
      <c r="K36" s="6"/>
      <c r="L36" s="6"/>
      <c r="R36" s="17"/>
    </row>
    <row r="37" spans="2:18">
      <c r="B37" t="s">
        <v>551</v>
      </c>
      <c r="C37" s="10">
        <f>Assumptions!B70</f>
        <v>7577212</v>
      </c>
      <c r="E37" s="70" t="s">
        <v>509</v>
      </c>
      <c r="F37" s="10">
        <f>F36*12</f>
        <v>-1501956.195207645</v>
      </c>
      <c r="J37" s="6"/>
      <c r="K37" s="6"/>
      <c r="L37" s="6"/>
    </row>
    <row r="38" spans="2:18">
      <c r="B38" t="s">
        <v>552</v>
      </c>
      <c r="C38" s="10">
        <f>Assumptions!B71</f>
        <v>100000</v>
      </c>
      <c r="D38" s="65">
        <v>7350000</v>
      </c>
      <c r="E38" t="s">
        <v>511</v>
      </c>
      <c r="F38" s="10">
        <f>F37</f>
        <v>-1501956.195207645</v>
      </c>
      <c r="J38" s="6"/>
      <c r="K38" s="6"/>
      <c r="L38" s="6"/>
    </row>
    <row r="39" spans="2:18">
      <c r="B39" t="s">
        <v>516</v>
      </c>
      <c r="C39" s="10">
        <f>C37*0.8</f>
        <v>6061769.6000000006</v>
      </c>
      <c r="F39" s="6"/>
      <c r="J39" s="6"/>
      <c r="K39" s="6"/>
      <c r="L39" s="6"/>
    </row>
    <row r="40" spans="2:18">
      <c r="B40" s="70" t="s">
        <v>517</v>
      </c>
      <c r="C40" s="10">
        <f>C39*Assumptions!D4</f>
        <v>848647.74400000018</v>
      </c>
      <c r="E40" s="70"/>
      <c r="J40" s="6"/>
      <c r="K40" s="6"/>
      <c r="L40" s="6"/>
    </row>
    <row r="41" spans="2:18">
      <c r="B41" s="70" t="s">
        <v>518</v>
      </c>
      <c r="C41" s="2">
        <v>8.2000000000000007E-3</v>
      </c>
      <c r="J41" s="6"/>
      <c r="K41" s="6"/>
      <c r="L41" s="6"/>
    </row>
    <row r="42" spans="2:18">
      <c r="B42" s="70" t="s">
        <v>512</v>
      </c>
      <c r="C42" s="144">
        <v>0.03</v>
      </c>
      <c r="J42" s="6"/>
      <c r="K42" s="6"/>
      <c r="L42" s="6"/>
    </row>
    <row r="43" spans="2:18">
      <c r="B43" t="s">
        <v>553</v>
      </c>
      <c r="C43" s="10">
        <f>C40*C41</f>
        <v>6958.9115008000017</v>
      </c>
      <c r="I43" s="19"/>
      <c r="J43" s="6"/>
      <c r="K43" s="6"/>
      <c r="L43" s="6"/>
    </row>
    <row r="44" spans="2:18">
      <c r="B44" t="s">
        <v>554</v>
      </c>
      <c r="C44" s="10">
        <f>C43</f>
        <v>6958.9115008000017</v>
      </c>
      <c r="I44" s="19"/>
      <c r="J44" s="6"/>
      <c r="K44" s="6"/>
      <c r="L44" s="6"/>
    </row>
  </sheetData>
  <mergeCells count="16">
    <mergeCell ref="B15:D15"/>
    <mergeCell ref="B16:N16"/>
    <mergeCell ref="B17:D17"/>
    <mergeCell ref="B9:D9"/>
    <mergeCell ref="B10:D10"/>
    <mergeCell ref="B11:D11"/>
    <mergeCell ref="B12:D12"/>
    <mergeCell ref="B13:D13"/>
    <mergeCell ref="B14:D14"/>
    <mergeCell ref="B2:N2"/>
    <mergeCell ref="B8:D8"/>
    <mergeCell ref="B3:D3"/>
    <mergeCell ref="B4:D4"/>
    <mergeCell ref="B5:D5"/>
    <mergeCell ref="B6:D6"/>
    <mergeCell ref="B7:D7"/>
  </mergeCells>
  <pageMargins left="0.7" right="0.7" top="0.75" bottom="0.75" header="0.3" footer="0.3"/>
  <pageSetup orientation="portrait" horizontalDpi="90" verticalDpi="9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66AA1-D01D-4CC5-805F-4D5EBD62210F}">
  <sheetPr>
    <tabColor theme="6" tint="0.79998168889431442"/>
  </sheetPr>
  <dimension ref="B1:O40"/>
  <sheetViews>
    <sheetView workbookViewId="0">
      <selection activeCell="A12" sqref="A12"/>
    </sheetView>
  </sheetViews>
  <sheetFormatPr defaultColWidth="9" defaultRowHeight="12.95"/>
  <cols>
    <col min="1" max="1" width="9.33203125"/>
    <col min="2" max="2" width="25" bestFit="1" customWidth="1"/>
    <col min="3" max="3" width="17.1640625" customWidth="1"/>
    <col min="4" max="4" width="14.83203125" customWidth="1"/>
    <col min="5" max="6" width="16.1640625" bestFit="1" customWidth="1"/>
    <col min="7" max="13" width="14.83203125" bestFit="1" customWidth="1"/>
    <col min="14" max="14" width="14.6640625" bestFit="1" customWidth="1"/>
  </cols>
  <sheetData>
    <row r="1" spans="2:14" ht="14.1" thickBot="1"/>
    <row r="2" spans="2:14" ht="18">
      <c r="B2" s="727" t="s">
        <v>555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9"/>
    </row>
    <row r="3" spans="2:14" ht="18">
      <c r="B3" s="730" t="s">
        <v>39</v>
      </c>
      <c r="C3" s="731"/>
      <c r="D3" s="731"/>
      <c r="E3" s="54">
        <v>2024</v>
      </c>
      <c r="F3" s="54">
        <v>2025</v>
      </c>
      <c r="G3" s="54">
        <v>2026</v>
      </c>
      <c r="H3" s="54">
        <v>2027</v>
      </c>
      <c r="I3" s="425">
        <v>2028</v>
      </c>
      <c r="J3" s="54">
        <v>2029</v>
      </c>
      <c r="K3" s="425">
        <v>2030</v>
      </c>
      <c r="L3" s="54">
        <v>2031</v>
      </c>
      <c r="M3" s="54">
        <v>2032</v>
      </c>
      <c r="N3" s="556">
        <v>2033</v>
      </c>
    </row>
    <row r="4" spans="2:14" ht="12.95" customHeight="1">
      <c r="B4" s="732" t="s">
        <v>40</v>
      </c>
      <c r="C4" s="733"/>
      <c r="D4" s="733"/>
      <c r="E4" s="10">
        <f>((Assumptions!B48*Assumptions!B49)*12)*(1-Assumptions!B55)</f>
        <v>1836000</v>
      </c>
      <c r="F4" s="10">
        <f>((Assumptions!B48*Assumptions!B49)*12)</f>
        <v>3672000</v>
      </c>
      <c r="G4" s="10">
        <f>F4</f>
        <v>3672000</v>
      </c>
      <c r="H4" s="10">
        <f t="shared" ref="H4:I4" si="0">G4</f>
        <v>3672000</v>
      </c>
      <c r="I4" s="10">
        <f t="shared" si="0"/>
        <v>3672000</v>
      </c>
      <c r="J4" s="10">
        <f>I4*(1+Assumptions!B54)</f>
        <v>3947400</v>
      </c>
      <c r="K4" s="10">
        <f>J4</f>
        <v>3947400</v>
      </c>
      <c r="L4" s="10">
        <f t="shared" ref="L4:N4" si="1">K4</f>
        <v>3947400</v>
      </c>
      <c r="M4" s="10">
        <f t="shared" si="1"/>
        <v>3947400</v>
      </c>
      <c r="N4" s="564">
        <f t="shared" si="1"/>
        <v>3947400</v>
      </c>
    </row>
    <row r="5" spans="2:14">
      <c r="B5" s="725" t="s">
        <v>41</v>
      </c>
      <c r="C5" s="726"/>
      <c r="D5" s="726"/>
      <c r="E5" s="10">
        <f>-E4*Assumptions!$B$53</f>
        <v>-165240</v>
      </c>
      <c r="F5" s="10">
        <f>-F4*Assumptions!$B$53</f>
        <v>-330480</v>
      </c>
      <c r="G5" s="10">
        <f>-G4*Assumptions!$B$53</f>
        <v>-330480</v>
      </c>
      <c r="H5" s="10">
        <f>-H4*Assumptions!$B$53</f>
        <v>-330480</v>
      </c>
      <c r="I5" s="10">
        <f>-I4*Assumptions!$B$53</f>
        <v>-330480</v>
      </c>
      <c r="J5" s="10">
        <f>-J4*Assumptions!$B$53</f>
        <v>-355266</v>
      </c>
      <c r="K5" s="10">
        <f>-K4*Assumptions!$B$53</f>
        <v>-355266</v>
      </c>
      <c r="L5" s="10">
        <f>-L4*Assumptions!$B$53</f>
        <v>-355266</v>
      </c>
      <c r="M5" s="10">
        <f>-M4*Assumptions!$B$53</f>
        <v>-355266</v>
      </c>
      <c r="N5" s="564">
        <f>-N4*Assumptions!$B$53</f>
        <v>-355266</v>
      </c>
    </row>
    <row r="6" spans="2:14">
      <c r="B6" s="734" t="s">
        <v>42</v>
      </c>
      <c r="C6" s="735"/>
      <c r="D6" s="735"/>
      <c r="E6" s="10">
        <f>E4+E5</f>
        <v>1670760</v>
      </c>
      <c r="F6" s="10">
        <f t="shared" ref="F6:N6" si="2">F4+F5</f>
        <v>3341520</v>
      </c>
      <c r="G6" s="10">
        <f t="shared" si="2"/>
        <v>3341520</v>
      </c>
      <c r="H6" s="10">
        <f t="shared" si="2"/>
        <v>3341520</v>
      </c>
      <c r="I6" s="10">
        <f t="shared" si="2"/>
        <v>3341520</v>
      </c>
      <c r="J6" s="10">
        <f t="shared" si="2"/>
        <v>3592134</v>
      </c>
      <c r="K6" s="10">
        <f t="shared" si="2"/>
        <v>3592134</v>
      </c>
      <c r="L6" s="10">
        <f t="shared" si="2"/>
        <v>3592134</v>
      </c>
      <c r="M6" s="10">
        <f t="shared" si="2"/>
        <v>3592134</v>
      </c>
      <c r="N6" s="564">
        <f t="shared" si="2"/>
        <v>3592134</v>
      </c>
    </row>
    <row r="7" spans="2:14">
      <c r="B7" s="736" t="s">
        <v>43</v>
      </c>
      <c r="C7" s="737"/>
      <c r="D7" s="737"/>
      <c r="E7" s="10"/>
      <c r="F7" s="10"/>
      <c r="G7" s="10"/>
      <c r="H7" s="10"/>
      <c r="I7" s="10"/>
      <c r="J7" s="10"/>
      <c r="K7" s="10"/>
      <c r="L7" s="10"/>
      <c r="M7" s="10"/>
      <c r="N7" s="564"/>
    </row>
    <row r="8" spans="2:14">
      <c r="B8" s="736" t="s">
        <v>44</v>
      </c>
      <c r="C8" s="737"/>
      <c r="D8" s="737"/>
      <c r="E8" s="10">
        <f>E6</f>
        <v>1670760</v>
      </c>
      <c r="F8" s="10">
        <f t="shared" ref="F8:N8" si="3">F6</f>
        <v>3341520</v>
      </c>
      <c r="G8" s="10">
        <f t="shared" si="3"/>
        <v>3341520</v>
      </c>
      <c r="H8" s="10">
        <f t="shared" si="3"/>
        <v>3341520</v>
      </c>
      <c r="I8" s="10">
        <f t="shared" si="3"/>
        <v>3341520</v>
      </c>
      <c r="J8" s="10">
        <f t="shared" si="3"/>
        <v>3592134</v>
      </c>
      <c r="K8" s="10">
        <f t="shared" si="3"/>
        <v>3592134</v>
      </c>
      <c r="L8" s="10">
        <f t="shared" si="3"/>
        <v>3592134</v>
      </c>
      <c r="M8" s="10">
        <f t="shared" si="3"/>
        <v>3592134</v>
      </c>
      <c r="N8" s="564">
        <f t="shared" si="3"/>
        <v>3592134</v>
      </c>
    </row>
    <row r="9" spans="2:14">
      <c r="B9" s="738" t="s">
        <v>45</v>
      </c>
      <c r="C9" s="739"/>
      <c r="D9" s="739"/>
      <c r="E9" s="1"/>
      <c r="F9" s="3"/>
      <c r="G9" s="4"/>
      <c r="H9" s="5"/>
      <c r="I9" s="5"/>
      <c r="J9" s="4"/>
      <c r="K9" s="5"/>
      <c r="L9" s="5"/>
      <c r="M9" s="5"/>
      <c r="N9" s="558"/>
    </row>
    <row r="10" spans="2:14">
      <c r="B10" s="725" t="s">
        <v>46</v>
      </c>
      <c r="C10" s="726"/>
      <c r="D10" s="726"/>
      <c r="E10" s="16">
        <f>-Assumptions!$D$9*Assumptions!$B$48</f>
        <v>-280500</v>
      </c>
      <c r="F10" s="16">
        <f>-Assumptions!$D$9*Assumptions!$B$48</f>
        <v>-280500</v>
      </c>
      <c r="G10" s="16">
        <f>-Assumptions!$D$9*Assumptions!$B$48</f>
        <v>-280500</v>
      </c>
      <c r="H10" s="16">
        <f>-Assumptions!$D$9*Assumptions!$B$48</f>
        <v>-280500</v>
      </c>
      <c r="I10" s="16">
        <f>-Assumptions!$D$9*Assumptions!$B$48</f>
        <v>-280500</v>
      </c>
      <c r="J10" s="16">
        <f>-Assumptions!$D$9*Assumptions!$B$48</f>
        <v>-280500</v>
      </c>
      <c r="K10" s="16">
        <f>-Assumptions!$D$9*Assumptions!$B$48</f>
        <v>-280500</v>
      </c>
      <c r="L10" s="16">
        <f>-Assumptions!$D$9*Assumptions!$B$48</f>
        <v>-280500</v>
      </c>
      <c r="M10" s="16">
        <f>-Assumptions!$D$9*Assumptions!$B$48</f>
        <v>-280500</v>
      </c>
      <c r="N10" s="557">
        <f>-Assumptions!$D$9*Assumptions!$B$48</f>
        <v>-280500</v>
      </c>
    </row>
    <row r="11" spans="2:14">
      <c r="B11" s="725" t="s">
        <v>47</v>
      </c>
      <c r="C11" s="726"/>
      <c r="D11" s="726"/>
      <c r="E11" s="16">
        <v>-363000</v>
      </c>
      <c r="F11" s="16">
        <v>-363000</v>
      </c>
      <c r="G11" s="16">
        <v>-363000</v>
      </c>
      <c r="H11" s="16">
        <v>-363000</v>
      </c>
      <c r="I11" s="16">
        <v>-363000</v>
      </c>
      <c r="J11" s="16">
        <v>-363000</v>
      </c>
      <c r="K11" s="16">
        <v>-363000</v>
      </c>
      <c r="L11" s="16">
        <v>-363000</v>
      </c>
      <c r="M11" s="16">
        <v>-363000</v>
      </c>
      <c r="N11" s="557">
        <v>-363000</v>
      </c>
    </row>
    <row r="12" spans="2:14">
      <c r="B12" s="725" t="s">
        <v>48</v>
      </c>
      <c r="C12" s="726"/>
      <c r="D12" s="726"/>
      <c r="E12" s="10">
        <f>-E6*Assumptions!$D$6</f>
        <v>-66830.399999999994</v>
      </c>
      <c r="F12" s="10">
        <f>-F6*Assumptions!$D$6</f>
        <v>-133660.79999999999</v>
      </c>
      <c r="G12" s="10">
        <f>-G6*Assumptions!$D$6</f>
        <v>-133660.79999999999</v>
      </c>
      <c r="H12" s="10">
        <f>-H6*Assumptions!$D$6</f>
        <v>-133660.79999999999</v>
      </c>
      <c r="I12" s="10">
        <f>-I6*Assumptions!$D$6</f>
        <v>-133660.79999999999</v>
      </c>
      <c r="J12" s="10">
        <f>-J6*Assumptions!$D$6</f>
        <v>-143685.36000000002</v>
      </c>
      <c r="K12" s="10">
        <f>-K6*Assumptions!$D$6</f>
        <v>-143685.36000000002</v>
      </c>
      <c r="L12" s="10">
        <f>-L6*Assumptions!$D$6</f>
        <v>-143685.36000000002</v>
      </c>
      <c r="M12" s="10">
        <f>-M6*Assumptions!$D$6</f>
        <v>-143685.36000000002</v>
      </c>
      <c r="N12" s="564">
        <f>-N6*Assumptions!$D$6</f>
        <v>-143685.36000000002</v>
      </c>
    </row>
    <row r="13" spans="2:14">
      <c r="B13" s="725" t="s">
        <v>49</v>
      </c>
      <c r="C13" s="726"/>
      <c r="D13" s="726"/>
      <c r="E13" s="10">
        <f>-$D$33*Assumptions!$D$10</f>
        <v>-45375</v>
      </c>
      <c r="F13" s="10">
        <f>-$D$33*Assumptions!$D$10</f>
        <v>-45375</v>
      </c>
      <c r="G13" s="10">
        <f>-$D$33*Assumptions!$D$10</f>
        <v>-45375</v>
      </c>
      <c r="H13" s="10">
        <f>-$D$33*Assumptions!$D$10</f>
        <v>-45375</v>
      </c>
      <c r="I13" s="10">
        <f>-$D$33*Assumptions!$D$10</f>
        <v>-45375</v>
      </c>
      <c r="J13" s="10">
        <f>-$D$33*Assumptions!$D$10</f>
        <v>-45375</v>
      </c>
      <c r="K13" s="10">
        <f>-$D$33*Assumptions!$D$10</f>
        <v>-45375</v>
      </c>
      <c r="L13" s="10">
        <f>-$D$33*Assumptions!$D$10</f>
        <v>-45375</v>
      </c>
      <c r="M13" s="10">
        <f>-$D$33*Assumptions!$D$10</f>
        <v>-45375</v>
      </c>
      <c r="N13" s="564">
        <f>-$D$33*Assumptions!$D$10</f>
        <v>-45375</v>
      </c>
    </row>
    <row r="14" spans="2:14">
      <c r="B14" s="725" t="s">
        <v>556</v>
      </c>
      <c r="C14" s="726"/>
      <c r="D14" s="726"/>
      <c r="E14" s="10">
        <f>-E6*Assumptions!$B$58</f>
        <v>-50122.799999999996</v>
      </c>
      <c r="F14" s="10">
        <f>-F6*Assumptions!$B$58</f>
        <v>-100245.59999999999</v>
      </c>
      <c r="G14" s="10">
        <f>-G6*Assumptions!$B$58</f>
        <v>-100245.59999999999</v>
      </c>
      <c r="H14" s="10">
        <f>-H6*Assumptions!$B$58</f>
        <v>-100245.59999999999</v>
      </c>
      <c r="I14" s="10">
        <f>-I6*Assumptions!$B$58</f>
        <v>-100245.59999999999</v>
      </c>
      <c r="J14" s="10">
        <f>-J6*Assumptions!$B$58</f>
        <v>-107764.01999999999</v>
      </c>
      <c r="K14" s="10">
        <f>-K6*Assumptions!$B$58</f>
        <v>-107764.01999999999</v>
      </c>
      <c r="L14" s="10">
        <f>-L6*Assumptions!$B$58</f>
        <v>-107764.01999999999</v>
      </c>
      <c r="M14" s="10">
        <f>-M6*Assumptions!$B$58</f>
        <v>-107764.01999999999</v>
      </c>
      <c r="N14" s="564">
        <f>-N6*Assumptions!$B$58</f>
        <v>-107764.01999999999</v>
      </c>
    </row>
    <row r="15" spans="2:14">
      <c r="B15" s="742" t="s">
        <v>51</v>
      </c>
      <c r="C15" s="743"/>
      <c r="D15" s="743"/>
      <c r="E15" s="12">
        <f>E10+E12+E14+E11+E13</f>
        <v>-805828.2</v>
      </c>
      <c r="F15" s="12">
        <f t="shared" ref="F15:N15" si="4">F10+F12+F14+F11+F13</f>
        <v>-922781.39999999991</v>
      </c>
      <c r="G15" s="12">
        <f t="shared" si="4"/>
        <v>-922781.39999999991</v>
      </c>
      <c r="H15" s="12">
        <f t="shared" si="4"/>
        <v>-922781.39999999991</v>
      </c>
      <c r="I15" s="12">
        <f t="shared" si="4"/>
        <v>-922781.39999999991</v>
      </c>
      <c r="J15" s="12">
        <f t="shared" si="4"/>
        <v>-940324.38</v>
      </c>
      <c r="K15" s="12">
        <f t="shared" si="4"/>
        <v>-940324.38</v>
      </c>
      <c r="L15" s="12">
        <f t="shared" si="4"/>
        <v>-940324.38</v>
      </c>
      <c r="M15" s="12">
        <f t="shared" si="4"/>
        <v>-940324.38</v>
      </c>
      <c r="N15" s="565">
        <f t="shared" si="4"/>
        <v>-940324.38</v>
      </c>
    </row>
    <row r="16" spans="2:14">
      <c r="B16" s="652"/>
      <c r="C16" s="653"/>
      <c r="D16" s="653"/>
      <c r="E16" s="653"/>
      <c r="F16" s="653"/>
      <c r="G16" s="653"/>
      <c r="H16" s="653"/>
      <c r="I16" s="653"/>
      <c r="J16" s="653"/>
      <c r="K16" s="653"/>
      <c r="L16" s="653"/>
      <c r="M16" s="653"/>
      <c r="N16" s="654"/>
    </row>
    <row r="17" spans="2:15">
      <c r="B17" s="736" t="s">
        <v>52</v>
      </c>
      <c r="C17" s="737"/>
      <c r="D17" s="737"/>
      <c r="E17" s="10">
        <f>E8+E15</f>
        <v>864931.8</v>
      </c>
      <c r="F17" s="10">
        <f t="shared" ref="F17:N17" si="5">F8+F15</f>
        <v>2418738.6</v>
      </c>
      <c r="G17" s="10">
        <f t="shared" si="5"/>
        <v>2418738.6</v>
      </c>
      <c r="H17" s="10">
        <f t="shared" si="5"/>
        <v>2418738.6</v>
      </c>
      <c r="I17" s="10">
        <f t="shared" si="5"/>
        <v>2418738.6</v>
      </c>
      <c r="J17" s="10">
        <f t="shared" si="5"/>
        <v>2651809.62</v>
      </c>
      <c r="K17" s="10">
        <f t="shared" si="5"/>
        <v>2651809.62</v>
      </c>
      <c r="L17" s="10">
        <f t="shared" si="5"/>
        <v>2651809.62</v>
      </c>
      <c r="M17" s="10">
        <f t="shared" si="5"/>
        <v>2651809.62</v>
      </c>
      <c r="N17" s="564">
        <f t="shared" si="5"/>
        <v>2651809.62</v>
      </c>
    </row>
    <row r="18" spans="2:15">
      <c r="B18" s="470" t="s">
        <v>53</v>
      </c>
      <c r="E18" s="10">
        <f>-$F$34</f>
        <v>-57172.5</v>
      </c>
      <c r="F18" s="10">
        <f t="shared" ref="F18:N18" si="6">-$F$34</f>
        <v>-57172.5</v>
      </c>
      <c r="G18" s="10">
        <f t="shared" si="6"/>
        <v>-57172.5</v>
      </c>
      <c r="H18" s="10">
        <f t="shared" si="6"/>
        <v>-57172.5</v>
      </c>
      <c r="I18" s="10">
        <f t="shared" si="6"/>
        <v>-57172.5</v>
      </c>
      <c r="J18" s="10">
        <f t="shared" si="6"/>
        <v>-57172.5</v>
      </c>
      <c r="K18" s="10">
        <f t="shared" si="6"/>
        <v>-57172.5</v>
      </c>
      <c r="L18" s="10">
        <f t="shared" si="6"/>
        <v>-57172.5</v>
      </c>
      <c r="M18" s="10">
        <f t="shared" si="6"/>
        <v>-57172.5</v>
      </c>
      <c r="N18" s="564">
        <f t="shared" si="6"/>
        <v>-57172.5</v>
      </c>
    </row>
    <row r="19" spans="2:15">
      <c r="B19" s="470" t="s">
        <v>500</v>
      </c>
      <c r="E19" s="10">
        <f>-$D$33/Assumptions!$D$7</f>
        <v>-46538.461538461539</v>
      </c>
      <c r="F19" s="10">
        <f>-$D$33/Assumptions!$D$7</f>
        <v>-46538.461538461539</v>
      </c>
      <c r="G19" s="10">
        <f>-$D$33/Assumptions!$D$7</f>
        <v>-46538.461538461539</v>
      </c>
      <c r="H19" s="10">
        <f>-$D$33/Assumptions!$D$7</f>
        <v>-46538.461538461539</v>
      </c>
      <c r="I19" s="10">
        <f>-$D$33/Assumptions!$D$7</f>
        <v>-46538.461538461539</v>
      </c>
      <c r="J19" s="10">
        <f>-$D$33/Assumptions!$D$7</f>
        <v>-46538.461538461539</v>
      </c>
      <c r="K19" s="10">
        <f>-$D$33/Assumptions!$D$7</f>
        <v>-46538.461538461539</v>
      </c>
      <c r="L19" s="10">
        <f>-$D$33/Assumptions!$D$7</f>
        <v>-46538.461538461539</v>
      </c>
      <c r="M19" s="10">
        <f>-$D$33/Assumptions!$D$7</f>
        <v>-46538.461538461539</v>
      </c>
      <c r="N19" s="564">
        <f>-$D$33/Assumptions!$D$7</f>
        <v>-46538.461538461539</v>
      </c>
    </row>
    <row r="20" spans="2:15">
      <c r="B20" s="470" t="s">
        <v>56</v>
      </c>
      <c r="E20" s="10">
        <f>E17+E18+E19</f>
        <v>761220.83846153854</v>
      </c>
      <c r="F20" s="10">
        <f t="shared" ref="F20:N20" si="7">F17+F18+F19</f>
        <v>2315027.6384615386</v>
      </c>
      <c r="G20" s="10">
        <f t="shared" si="7"/>
        <v>2315027.6384615386</v>
      </c>
      <c r="H20" s="10">
        <f t="shared" si="7"/>
        <v>2315027.6384615386</v>
      </c>
      <c r="I20" s="10">
        <f t="shared" si="7"/>
        <v>2315027.6384615386</v>
      </c>
      <c r="J20" s="10">
        <f t="shared" si="7"/>
        <v>2548098.6584615386</v>
      </c>
      <c r="K20" s="10">
        <f t="shared" si="7"/>
        <v>2548098.6584615386</v>
      </c>
      <c r="L20" s="10">
        <f t="shared" si="7"/>
        <v>2548098.6584615386</v>
      </c>
      <c r="M20" s="10">
        <f t="shared" si="7"/>
        <v>2548098.6584615386</v>
      </c>
      <c r="N20" s="564">
        <f t="shared" si="7"/>
        <v>2548098.6584615386</v>
      </c>
    </row>
    <row r="21" spans="2:15">
      <c r="B21" s="469" t="s">
        <v>310</v>
      </c>
      <c r="E21" s="10">
        <f>C33</f>
        <v>27175300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564">
        <v>0</v>
      </c>
      <c r="O21" s="10"/>
    </row>
    <row r="22" spans="2:15">
      <c r="B22" s="470" t="s">
        <v>58</v>
      </c>
      <c r="E22" s="10">
        <f>E20*0.3</f>
        <v>228366.25153846157</v>
      </c>
      <c r="F22" s="10">
        <f>F20*0.3</f>
        <v>694508.29153846158</v>
      </c>
      <c r="G22" s="10">
        <f>G20*0.3</f>
        <v>694508.29153846158</v>
      </c>
      <c r="H22" s="10">
        <f>H20*0.3</f>
        <v>694508.29153846158</v>
      </c>
      <c r="I22" s="10">
        <f>I20*0.3</f>
        <v>694508.29153846158</v>
      </c>
      <c r="J22" s="10">
        <f>J20*0.3</f>
        <v>764429.59753846156</v>
      </c>
      <c r="K22" s="10">
        <f>K20*0.3</f>
        <v>764429.59753846156</v>
      </c>
      <c r="L22" s="10">
        <f>L20*0.3</f>
        <v>764429.59753846156</v>
      </c>
      <c r="M22" s="10">
        <f>M20*0.3</f>
        <v>764429.59753846156</v>
      </c>
      <c r="N22" s="564">
        <f>N20*0.3</f>
        <v>764429.59753846156</v>
      </c>
    </row>
    <row r="23" spans="2:15">
      <c r="B23" s="470" t="s">
        <v>59</v>
      </c>
      <c r="E23" s="10">
        <f>E17-E22</f>
        <v>636565.54846153851</v>
      </c>
      <c r="F23" s="10">
        <f>F17-F22</f>
        <v>1724230.3084615385</v>
      </c>
      <c r="G23" s="10">
        <f>G17-G22</f>
        <v>1724230.3084615385</v>
      </c>
      <c r="H23" s="10">
        <f>H17-H22</f>
        <v>1724230.3084615385</v>
      </c>
      <c r="I23" s="10">
        <f>I17-I22</f>
        <v>1724230.3084615385</v>
      </c>
      <c r="J23" s="10">
        <f>J17-J22</f>
        <v>1887380.0224615387</v>
      </c>
      <c r="K23" s="10">
        <f>K17-K22</f>
        <v>1887380.0224615387</v>
      </c>
      <c r="L23" s="10">
        <f>L17-L22</f>
        <v>1887380.0224615387</v>
      </c>
      <c r="M23" s="10">
        <f>M17-M22</f>
        <v>1887380.0224615387</v>
      </c>
      <c r="N23" s="564">
        <f>N17-N22</f>
        <v>1887380.0224615387</v>
      </c>
    </row>
    <row r="24" spans="2:15">
      <c r="B24" s="470" t="s">
        <v>502</v>
      </c>
      <c r="E24" s="10">
        <f>$F$33</f>
        <v>57172.5</v>
      </c>
      <c r="F24" s="10">
        <f t="shared" ref="F24:N24" si="8">$F$33</f>
        <v>57172.5</v>
      </c>
      <c r="G24" s="10">
        <f t="shared" si="8"/>
        <v>57172.5</v>
      </c>
      <c r="H24" s="10">
        <f t="shared" si="8"/>
        <v>57172.5</v>
      </c>
      <c r="I24" s="10">
        <f t="shared" si="8"/>
        <v>57172.5</v>
      </c>
      <c r="J24" s="10">
        <f t="shared" si="8"/>
        <v>57172.5</v>
      </c>
      <c r="K24" s="10">
        <f t="shared" si="8"/>
        <v>57172.5</v>
      </c>
      <c r="L24" s="10">
        <f t="shared" si="8"/>
        <v>57172.5</v>
      </c>
      <c r="M24" s="10">
        <f t="shared" si="8"/>
        <v>57172.5</v>
      </c>
      <c r="N24" s="564">
        <f t="shared" si="8"/>
        <v>57172.5</v>
      </c>
    </row>
    <row r="25" spans="2:15">
      <c r="B25" s="470" t="s">
        <v>62</v>
      </c>
      <c r="E25" s="446">
        <f>E23/E24</f>
        <v>11.134121272666729</v>
      </c>
      <c r="F25" s="446">
        <f t="shared" ref="F25:N25" si="9">F23/F24</f>
        <v>30.158385735476646</v>
      </c>
      <c r="G25" s="446">
        <f t="shared" si="9"/>
        <v>30.158385735476646</v>
      </c>
      <c r="H25" s="446">
        <f t="shared" si="9"/>
        <v>30.158385735476646</v>
      </c>
      <c r="I25" s="446">
        <f t="shared" si="9"/>
        <v>30.158385735476646</v>
      </c>
      <c r="J25" s="446">
        <f t="shared" si="9"/>
        <v>33.012025404898132</v>
      </c>
      <c r="K25" s="446">
        <f t="shared" si="9"/>
        <v>33.012025404898132</v>
      </c>
      <c r="L25" s="446">
        <f t="shared" si="9"/>
        <v>33.012025404898132</v>
      </c>
      <c r="M25" s="446">
        <f t="shared" si="9"/>
        <v>33.012025404898132</v>
      </c>
      <c r="N25" s="566">
        <f t="shared" si="9"/>
        <v>33.012025404898132</v>
      </c>
    </row>
    <row r="26" spans="2:15">
      <c r="B26" s="569" t="s">
        <v>503</v>
      </c>
      <c r="E26" s="10">
        <v>23125000</v>
      </c>
      <c r="F26" s="10">
        <f>E26+E17</f>
        <v>23989931.800000001</v>
      </c>
      <c r="G26" s="10">
        <f>F26+F17</f>
        <v>26408670.400000002</v>
      </c>
      <c r="H26" s="10">
        <f>G26+G17</f>
        <v>28827409.000000004</v>
      </c>
      <c r="I26" s="10">
        <f>H26+H17</f>
        <v>31246147.600000005</v>
      </c>
      <c r="J26" s="10">
        <f>I26+I17</f>
        <v>33664886.200000003</v>
      </c>
      <c r="K26" s="10">
        <f>J26+J17</f>
        <v>36316695.82</v>
      </c>
      <c r="L26" s="10">
        <f>K26+K17</f>
        <v>38968505.439999998</v>
      </c>
      <c r="M26" s="10">
        <f>L26+L17</f>
        <v>41620315.059999995</v>
      </c>
      <c r="N26" s="564">
        <f>M26+M17</f>
        <v>44272124.679999992</v>
      </c>
    </row>
    <row r="27" spans="2:15">
      <c r="B27" s="469" t="s">
        <v>504</v>
      </c>
      <c r="E27" s="10">
        <f>SUM(E20,E17,E26)</f>
        <v>24751152.638461538</v>
      </c>
      <c r="F27" s="10">
        <f t="shared" ref="F27:N27" si="10">SUM(F20,F17,F26)</f>
        <v>28723698.03846154</v>
      </c>
      <c r="G27" s="10">
        <f t="shared" si="10"/>
        <v>31142436.638461541</v>
      </c>
      <c r="H27" s="10">
        <f t="shared" si="10"/>
        <v>33561175.238461539</v>
      </c>
      <c r="I27" s="10">
        <f t="shared" si="10"/>
        <v>35979913.838461548</v>
      </c>
      <c r="J27" s="10">
        <f t="shared" si="10"/>
        <v>38864794.478461541</v>
      </c>
      <c r="K27" s="10">
        <f t="shared" si="10"/>
        <v>41516604.098461539</v>
      </c>
      <c r="L27" s="10">
        <f t="shared" si="10"/>
        <v>44168413.718461536</v>
      </c>
      <c r="M27" s="10">
        <f t="shared" si="10"/>
        <v>46820223.338461533</v>
      </c>
      <c r="N27" s="564">
        <f t="shared" si="10"/>
        <v>49472032.958461531</v>
      </c>
    </row>
    <row r="28" spans="2:15" ht="14.1" thickBot="1">
      <c r="B28" s="567" t="s">
        <v>63</v>
      </c>
      <c r="C28" s="20"/>
      <c r="D28" s="20"/>
      <c r="E28" s="21">
        <f>((E25-1))*E24</f>
        <v>579393.04846153851</v>
      </c>
      <c r="F28" s="21">
        <f t="shared" ref="F28:N28" si="11">((F25-1))*F24</f>
        <v>1667057.8084615385</v>
      </c>
      <c r="G28" s="21">
        <f t="shared" si="11"/>
        <v>1667057.8084615385</v>
      </c>
      <c r="H28" s="21">
        <f t="shared" si="11"/>
        <v>1667057.8084615385</v>
      </c>
      <c r="I28" s="21">
        <f t="shared" si="11"/>
        <v>1667057.8084615385</v>
      </c>
      <c r="J28" s="21">
        <f t="shared" si="11"/>
        <v>1830207.5224615384</v>
      </c>
      <c r="K28" s="21">
        <f t="shared" si="11"/>
        <v>1830207.5224615384</v>
      </c>
      <c r="L28" s="21">
        <f t="shared" si="11"/>
        <v>1830207.5224615384</v>
      </c>
      <c r="M28" s="21">
        <f t="shared" si="11"/>
        <v>1830207.5224615384</v>
      </c>
      <c r="N28" s="568">
        <f t="shared" si="11"/>
        <v>1830207.5224615384</v>
      </c>
    </row>
    <row r="30" spans="2:15">
      <c r="B30" t="s">
        <v>505</v>
      </c>
      <c r="C30" s="14">
        <f>Assumptions!B56</f>
        <v>0.1</v>
      </c>
    </row>
    <row r="31" spans="2:15">
      <c r="B31" t="s">
        <v>7</v>
      </c>
      <c r="C31" s="10">
        <f>N17/C30</f>
        <v>26518096.199999999</v>
      </c>
      <c r="D31" s="10"/>
      <c r="E31" t="s">
        <v>489</v>
      </c>
      <c r="F31" s="10">
        <f>D33*Assumptions!D16</f>
        <v>1270500</v>
      </c>
      <c r="I31" s="18"/>
      <c r="J31" s="6"/>
      <c r="K31" s="6"/>
      <c r="L31" s="6"/>
    </row>
    <row r="32" spans="2:15">
      <c r="C32" s="10"/>
      <c r="D32" s="10"/>
      <c r="E32" s="70" t="s">
        <v>507</v>
      </c>
      <c r="F32" s="10">
        <f>(F31*Assumptions!D17)/12</f>
        <v>4764.375</v>
      </c>
      <c r="J32" s="6"/>
      <c r="K32" s="6"/>
      <c r="L32" s="6"/>
    </row>
    <row r="33" spans="2:12">
      <c r="B33" t="s">
        <v>557</v>
      </c>
      <c r="C33" s="10">
        <f>Assumptions!F43</f>
        <v>27175300</v>
      </c>
      <c r="D33" s="10">
        <v>1815000</v>
      </c>
      <c r="E33" s="70" t="s">
        <v>509</v>
      </c>
      <c r="F33" s="10">
        <f>F32*12</f>
        <v>57172.5</v>
      </c>
      <c r="J33" s="6"/>
      <c r="K33" s="6"/>
      <c r="L33" s="6"/>
    </row>
    <row r="34" spans="2:12">
      <c r="B34" t="s">
        <v>516</v>
      </c>
      <c r="C34" s="10">
        <f>C31*0.8</f>
        <v>21214476.960000001</v>
      </c>
      <c r="D34" s="10"/>
      <c r="E34" t="s">
        <v>511</v>
      </c>
      <c r="F34" s="10">
        <f>F33</f>
        <v>57172.5</v>
      </c>
      <c r="J34" s="6"/>
      <c r="K34" s="6"/>
      <c r="L34" s="6"/>
    </row>
    <row r="35" spans="2:12">
      <c r="B35" s="70" t="s">
        <v>517</v>
      </c>
      <c r="C35" s="10">
        <f>C34*Assumptions!D4</f>
        <v>2970026.7744000005</v>
      </c>
      <c r="D35" s="10"/>
      <c r="F35" s="6"/>
      <c r="J35" s="6"/>
      <c r="K35" s="6"/>
      <c r="L35" s="6"/>
    </row>
    <row r="36" spans="2:12">
      <c r="B36" s="70" t="s">
        <v>518</v>
      </c>
      <c r="C36" s="2">
        <v>8.2000000000000007E-3</v>
      </c>
      <c r="E36" s="70"/>
      <c r="J36" s="6"/>
      <c r="K36" s="6"/>
      <c r="L36" s="6"/>
    </row>
    <row r="37" spans="2:12">
      <c r="B37" s="70" t="s">
        <v>512</v>
      </c>
      <c r="C37" s="144">
        <v>0.03</v>
      </c>
      <c r="J37" s="6"/>
      <c r="K37" s="6"/>
      <c r="L37" s="6"/>
    </row>
    <row r="38" spans="2:12">
      <c r="B38" t="s">
        <v>519</v>
      </c>
      <c r="C38" s="15">
        <f>C35*C36</f>
        <v>24354.219550080004</v>
      </c>
      <c r="J38" s="6"/>
      <c r="K38" s="6"/>
      <c r="L38" s="6"/>
    </row>
    <row r="39" spans="2:12">
      <c r="B39" t="s">
        <v>520</v>
      </c>
      <c r="C39" s="15">
        <f>C38</f>
        <v>24354.219550080004</v>
      </c>
      <c r="I39" s="19"/>
      <c r="J39" s="6"/>
      <c r="K39" s="6"/>
      <c r="L39" s="6"/>
    </row>
    <row r="40" spans="2:12">
      <c r="B40" t="s">
        <v>531</v>
      </c>
      <c r="C40" s="15">
        <f>C38+C39</f>
        <v>48708.439100160009</v>
      </c>
      <c r="I40" s="19"/>
      <c r="J40" s="6"/>
      <c r="K40" s="6"/>
      <c r="L40" s="6"/>
    </row>
  </sheetData>
  <mergeCells count="16">
    <mergeCell ref="B2:N2"/>
    <mergeCell ref="B15:D15"/>
    <mergeCell ref="B16:N16"/>
    <mergeCell ref="B17:D17"/>
    <mergeCell ref="B9:D9"/>
    <mergeCell ref="B10:D10"/>
    <mergeCell ref="B11:D11"/>
    <mergeCell ref="B12:D12"/>
    <mergeCell ref="B13:D13"/>
    <mergeCell ref="B14:D14"/>
    <mergeCell ref="B8:D8"/>
    <mergeCell ref="B3:D3"/>
    <mergeCell ref="B4:D4"/>
    <mergeCell ref="B5:D5"/>
    <mergeCell ref="B6:D6"/>
    <mergeCell ref="B7:D7"/>
  </mergeCells>
  <pageMargins left="0.7" right="0.7" top="0.75" bottom="0.75" header="0.3" footer="0.3"/>
  <pageSetup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1B0EF-91D9-0846-9F89-27731838DE59}">
  <dimension ref="A3:W33"/>
  <sheetViews>
    <sheetView zoomScale="133" workbookViewId="0">
      <selection activeCell="F38" sqref="F38"/>
    </sheetView>
  </sheetViews>
  <sheetFormatPr defaultColWidth="12" defaultRowHeight="12.95"/>
  <cols>
    <col min="4" max="4" width="12.83203125" bestFit="1" customWidth="1"/>
  </cols>
  <sheetData>
    <row r="3" spans="2:14">
      <c r="B3" s="423" t="s">
        <v>558</v>
      </c>
      <c r="C3" s="423"/>
      <c r="D3" s="424">
        <v>2024</v>
      </c>
      <c r="E3" s="424">
        <v>2025</v>
      </c>
      <c r="F3" s="424">
        <v>2026</v>
      </c>
      <c r="G3" s="424">
        <v>2027</v>
      </c>
      <c r="H3" s="424">
        <v>2028</v>
      </c>
      <c r="I3" s="424">
        <v>2029</v>
      </c>
      <c r="J3" s="424">
        <v>2030</v>
      </c>
      <c r="K3" s="424">
        <v>2031</v>
      </c>
      <c r="L3" s="424">
        <v>2032</v>
      </c>
      <c r="M3" s="424">
        <v>2033</v>
      </c>
      <c r="N3" s="424" t="s">
        <v>176</v>
      </c>
    </row>
    <row r="4" spans="2:14">
      <c r="B4" s="145" t="s">
        <v>559</v>
      </c>
      <c r="C4" s="146"/>
      <c r="N4" s="146"/>
    </row>
    <row r="5" spans="2:14">
      <c r="B5" s="147" t="s">
        <v>560</v>
      </c>
      <c r="C5" s="147"/>
      <c r="D5" s="156">
        <f>'Market Housing NOI'!E17</f>
        <v>-7511733.5072000008</v>
      </c>
      <c r="E5" s="156">
        <f>'Market Housing NOI'!F17</f>
        <v>-6411445.6990999989</v>
      </c>
      <c r="F5" s="156">
        <f>'Market Housing NOI'!G17</f>
        <v>-5571341.7404000014</v>
      </c>
      <c r="G5" s="156">
        <f>'Market Housing NOI'!H17</f>
        <v>-5571341.7404000014</v>
      </c>
      <c r="H5" s="156">
        <v>0</v>
      </c>
      <c r="I5" s="156">
        <v>0</v>
      </c>
      <c r="J5" s="156">
        <v>0</v>
      </c>
      <c r="K5" s="156">
        <v>0</v>
      </c>
      <c r="L5" s="156">
        <v>0</v>
      </c>
      <c r="M5" s="156">
        <v>0</v>
      </c>
      <c r="N5" s="156">
        <v>0</v>
      </c>
    </row>
    <row r="6" spans="2:14">
      <c r="B6" s="147" t="s">
        <v>561</v>
      </c>
      <c r="C6" s="147"/>
      <c r="D6" s="156">
        <v>0</v>
      </c>
      <c r="E6" s="156">
        <f>'[1]res, affordable'!F15</f>
        <v>0</v>
      </c>
      <c r="F6" s="156">
        <f>'[1]res, affordable'!G15</f>
        <v>0</v>
      </c>
      <c r="G6" s="156">
        <f>'Affordable Housing NOI'!H17</f>
        <v>7499339.5319999997</v>
      </c>
      <c r="H6" s="156">
        <v>0</v>
      </c>
      <c r="I6" s="156">
        <v>0</v>
      </c>
      <c r="J6" s="156">
        <v>0</v>
      </c>
      <c r="K6" s="156">
        <v>0</v>
      </c>
      <c r="L6" s="156">
        <v>0</v>
      </c>
      <c r="M6" s="156">
        <v>0</v>
      </c>
      <c r="N6" s="156">
        <v>0</v>
      </c>
    </row>
    <row r="7" spans="2:14">
      <c r="B7" s="147" t="s">
        <v>562</v>
      </c>
      <c r="C7" s="147"/>
      <c r="D7" s="148">
        <f>'Office NOI'!E17</f>
        <v>13034722.567485999</v>
      </c>
      <c r="E7" s="148">
        <f>'Office NOI'!F17</f>
        <v>2114618.6423200015</v>
      </c>
      <c r="F7" s="148">
        <f>'Office NOI'!G17</f>
        <v>4148628.0628539994</v>
      </c>
      <c r="G7" s="148">
        <f>'Office NOI'!H17</f>
        <v>4148628.0628539994</v>
      </c>
      <c r="H7" s="148">
        <v>0</v>
      </c>
      <c r="I7" s="148">
        <v>0</v>
      </c>
      <c r="J7" s="148">
        <v>0</v>
      </c>
      <c r="K7" s="148">
        <v>0</v>
      </c>
      <c r="L7" s="148">
        <v>0</v>
      </c>
      <c r="M7" s="148">
        <v>0</v>
      </c>
      <c r="N7" s="148">
        <v>0</v>
      </c>
    </row>
    <row r="8" spans="2:14">
      <c r="B8" s="147" t="s">
        <v>14</v>
      </c>
      <c r="C8" s="149"/>
      <c r="D8" s="148">
        <f>'Retail NOI'!E17</f>
        <v>-146672.76436000003</v>
      </c>
      <c r="E8" s="148">
        <f>'Retail NOI'!F17</f>
        <v>2887339.8672099998</v>
      </c>
      <c r="F8" s="148">
        <f>'Retail NOI'!G17</f>
        <v>3586053.9161799997</v>
      </c>
      <c r="G8" s="148">
        <f>'Retail NOI'!H17</f>
        <v>4360200.8910400001</v>
      </c>
      <c r="H8" s="148">
        <v>0</v>
      </c>
      <c r="I8" s="148">
        <v>0</v>
      </c>
      <c r="J8" s="148">
        <v>0</v>
      </c>
      <c r="K8" s="148">
        <v>0</v>
      </c>
      <c r="L8" s="148">
        <v>0</v>
      </c>
      <c r="M8" s="148">
        <v>0</v>
      </c>
      <c r="N8" s="148">
        <v>0</v>
      </c>
    </row>
    <row r="9" spans="2:14">
      <c r="B9" s="147" t="s">
        <v>563</v>
      </c>
      <c r="C9" s="147"/>
      <c r="D9" s="148">
        <v>0</v>
      </c>
      <c r="E9" s="148">
        <v>0</v>
      </c>
      <c r="F9" s="148">
        <v>0</v>
      </c>
      <c r="G9" s="148">
        <v>0</v>
      </c>
      <c r="H9" s="148">
        <v>0</v>
      </c>
      <c r="I9" s="148">
        <v>0</v>
      </c>
      <c r="J9" s="148">
        <v>0</v>
      </c>
      <c r="K9" s="148">
        <v>0</v>
      </c>
      <c r="L9" s="148">
        <v>0</v>
      </c>
      <c r="M9" s="148">
        <v>0</v>
      </c>
      <c r="N9" s="148">
        <v>0</v>
      </c>
    </row>
    <row r="10" spans="2:14">
      <c r="B10" s="147" t="s">
        <v>19</v>
      </c>
      <c r="C10" s="147"/>
      <c r="D10" s="148">
        <f>'Parking NOI'!E17</f>
        <v>420928.31249999977</v>
      </c>
      <c r="E10" s="148">
        <f>'Parking NOI'!F17</f>
        <v>1779305.2725</v>
      </c>
      <c r="F10" s="148">
        <f>'Parking NOI'!G17</f>
        <v>3566579.5125000002</v>
      </c>
      <c r="G10" s="148">
        <f>'Parking NOI'!H17</f>
        <v>4849254.7125000004</v>
      </c>
      <c r="H10" s="148">
        <v>0</v>
      </c>
      <c r="I10" s="148">
        <v>0</v>
      </c>
      <c r="J10" s="148">
        <v>0</v>
      </c>
      <c r="K10" s="148">
        <v>0</v>
      </c>
      <c r="L10" s="148">
        <v>0</v>
      </c>
      <c r="M10" s="148">
        <v>0</v>
      </c>
      <c r="N10" s="148">
        <v>0</v>
      </c>
    </row>
    <row r="11" spans="2:14">
      <c r="B11" s="150" t="s">
        <v>564</v>
      </c>
      <c r="C11" s="147"/>
      <c r="D11" s="148">
        <f>SUM(D4:D10)</f>
        <v>5797244.6084259981</v>
      </c>
      <c r="E11" s="148">
        <f>SUM(E4:E10)</f>
        <v>369818.08293000236</v>
      </c>
      <c r="F11" s="148">
        <f>SUM(F4:F10)</f>
        <v>5729919.7511339979</v>
      </c>
      <c r="G11" s="148">
        <f>SUM(G4:G10)</f>
        <v>15286081.457993997</v>
      </c>
      <c r="H11" s="148">
        <v>0</v>
      </c>
      <c r="I11" s="148">
        <v>0</v>
      </c>
      <c r="J11" s="148">
        <v>0</v>
      </c>
      <c r="K11" s="148">
        <v>0</v>
      </c>
      <c r="L11" s="148">
        <v>0</v>
      </c>
      <c r="M11" s="148">
        <v>0</v>
      </c>
      <c r="N11" s="148">
        <v>0</v>
      </c>
    </row>
    <row r="12" spans="2:14">
      <c r="B12" s="147"/>
      <c r="C12" s="147"/>
      <c r="D12" s="148"/>
      <c r="E12" s="148"/>
      <c r="F12" s="148"/>
      <c r="G12" s="148"/>
      <c r="H12" s="148">
        <v>0</v>
      </c>
      <c r="I12" s="148">
        <v>0</v>
      </c>
      <c r="J12" s="148">
        <v>0</v>
      </c>
      <c r="K12" s="148">
        <v>0</v>
      </c>
      <c r="L12" s="148">
        <v>0</v>
      </c>
      <c r="M12" s="148">
        <v>0</v>
      </c>
      <c r="N12" s="148">
        <v>0</v>
      </c>
    </row>
    <row r="13" spans="2:14">
      <c r="B13" s="145" t="s">
        <v>565</v>
      </c>
      <c r="C13" s="146"/>
      <c r="D13" s="148">
        <v>0</v>
      </c>
      <c r="E13" s="148"/>
      <c r="F13" s="148"/>
      <c r="G13" s="148"/>
      <c r="H13" s="148">
        <v>0</v>
      </c>
      <c r="I13" s="148">
        <v>0</v>
      </c>
      <c r="J13" s="148">
        <v>0</v>
      </c>
      <c r="K13" s="148">
        <v>0</v>
      </c>
      <c r="L13" s="148">
        <v>0</v>
      </c>
      <c r="M13" s="148">
        <v>0</v>
      </c>
      <c r="N13" s="148">
        <v>0</v>
      </c>
    </row>
    <row r="14" spans="2:14">
      <c r="B14" s="147" t="s">
        <v>560</v>
      </c>
      <c r="C14" s="147"/>
      <c r="D14" s="148">
        <f>'Market Housing NOI'!E15</f>
        <v>-8804936.0672000013</v>
      </c>
      <c r="E14" s="148">
        <f>'Market Housing NOI'!F15</f>
        <v>-8887753.4290999994</v>
      </c>
      <c r="F14" s="148">
        <f>'Market Housing NOI'!G15</f>
        <v>-8950987.0604000017</v>
      </c>
      <c r="G14" s="148">
        <f>'Market Housing NOI'!H15</f>
        <v>-8950987.0604000017</v>
      </c>
      <c r="H14" s="148">
        <v>0</v>
      </c>
      <c r="I14" s="148">
        <v>0</v>
      </c>
      <c r="J14" s="148">
        <v>0</v>
      </c>
      <c r="K14" s="148">
        <v>0</v>
      </c>
      <c r="L14" s="148">
        <v>0</v>
      </c>
      <c r="M14" s="148">
        <v>0</v>
      </c>
      <c r="N14" s="148">
        <v>0</v>
      </c>
    </row>
    <row r="15" spans="2:14">
      <c r="B15" s="147" t="s">
        <v>561</v>
      </c>
      <c r="C15" s="147"/>
      <c r="D15" s="148">
        <v>0</v>
      </c>
      <c r="E15" s="148">
        <f>'[1]res, affordable'!F19</f>
        <v>0</v>
      </c>
      <c r="F15" s="148">
        <f>'[1]res, affordable'!G19</f>
        <v>0</v>
      </c>
      <c r="G15" s="148">
        <f>'Affordable Housing NOI'!H15</f>
        <v>-1737044.8680000002</v>
      </c>
      <c r="H15" s="148">
        <v>0</v>
      </c>
      <c r="I15" s="148">
        <v>0</v>
      </c>
      <c r="J15" s="148">
        <v>0</v>
      </c>
      <c r="K15" s="148">
        <v>0</v>
      </c>
      <c r="L15" s="148">
        <v>0</v>
      </c>
      <c r="M15" s="148">
        <v>0</v>
      </c>
      <c r="N15" s="148">
        <v>0</v>
      </c>
    </row>
    <row r="16" spans="2:14">
      <c r="B16" s="147" t="s">
        <v>562</v>
      </c>
      <c r="C16" s="147"/>
      <c r="D16" s="148">
        <f>'Office NOI'!E15</f>
        <v>-1063298.0427140002</v>
      </c>
      <c r="E16" s="148">
        <f>'Office NOI'!F15</f>
        <v>-13813935.381679999</v>
      </c>
      <c r="F16" s="148">
        <f>'Office NOI'!G15</f>
        <v>-13967032.864946</v>
      </c>
      <c r="G16" s="148">
        <f>'Office NOI'!H15</f>
        <v>-13967032.864946</v>
      </c>
      <c r="H16" s="148">
        <v>0</v>
      </c>
      <c r="I16" s="148">
        <v>0</v>
      </c>
      <c r="J16" s="148">
        <v>0</v>
      </c>
      <c r="K16" s="148">
        <v>0</v>
      </c>
      <c r="L16" s="148">
        <v>0</v>
      </c>
      <c r="M16" s="148">
        <v>0</v>
      </c>
      <c r="N16" s="148">
        <v>0</v>
      </c>
    </row>
    <row r="17" spans="1:23">
      <c r="B17" s="149" t="s">
        <v>14</v>
      </c>
      <c r="C17" s="149"/>
      <c r="D17" s="148">
        <f>'Retail NOI'!E15</f>
        <v>-498527.51236000005</v>
      </c>
      <c r="E17" s="148">
        <f>'Retail NOI'!F15</f>
        <v>-531195.12979000004</v>
      </c>
      <c r="F17" s="148">
        <f>'Retail NOI'!G15</f>
        <v>-583786.50982000004</v>
      </c>
      <c r="G17" s="148">
        <f>'Retail NOI'!H15</f>
        <v>-642055.63696000003</v>
      </c>
      <c r="H17" s="148">
        <v>0</v>
      </c>
      <c r="I17" s="148">
        <v>0</v>
      </c>
      <c r="J17" s="148">
        <v>0</v>
      </c>
      <c r="K17" s="148">
        <v>0</v>
      </c>
      <c r="L17" s="148">
        <v>0</v>
      </c>
      <c r="M17" s="148">
        <v>0</v>
      </c>
      <c r="N17" s="148">
        <v>0</v>
      </c>
    </row>
    <row r="18" spans="1:23">
      <c r="B18" s="147" t="s">
        <v>563</v>
      </c>
      <c r="C18" s="147"/>
      <c r="D18" s="148">
        <v>0</v>
      </c>
      <c r="E18" s="148">
        <f>[1]hotel!F22</f>
        <v>0</v>
      </c>
      <c r="F18" s="148">
        <f>[1]hotel!G22</f>
        <v>0</v>
      </c>
      <c r="G18" s="148">
        <f>[1]hotel!H22</f>
        <v>0</v>
      </c>
      <c r="H18" s="148">
        <v>0</v>
      </c>
      <c r="I18" s="148">
        <v>0</v>
      </c>
      <c r="J18" s="148">
        <v>0</v>
      </c>
      <c r="K18" s="148">
        <v>0</v>
      </c>
      <c r="L18" s="148">
        <v>0</v>
      </c>
      <c r="M18" s="148">
        <v>0</v>
      </c>
      <c r="N18" s="148">
        <v>0</v>
      </c>
    </row>
    <row r="19" spans="1:23">
      <c r="B19" s="147" t="s">
        <v>19</v>
      </c>
      <c r="C19" s="147"/>
      <c r="D19" s="148">
        <f>'Parking NOI'!E15</f>
        <v>-1482711.6875000002</v>
      </c>
      <c r="E19" s="148">
        <f>'Parking NOI'!F15</f>
        <v>-1539310.7275</v>
      </c>
      <c r="F19" s="148">
        <f>'Parking NOI'!G15</f>
        <v>-1613780.4875</v>
      </c>
      <c r="G19" s="148">
        <f>'Parking NOI'!H15</f>
        <v>-1667225.2875000001</v>
      </c>
      <c r="H19" s="148">
        <v>0</v>
      </c>
      <c r="I19" s="148">
        <v>0</v>
      </c>
      <c r="J19" s="148">
        <v>0</v>
      </c>
      <c r="K19" s="148">
        <v>0</v>
      </c>
      <c r="L19" s="148">
        <v>0</v>
      </c>
      <c r="M19" s="148">
        <v>0</v>
      </c>
      <c r="N19" s="148">
        <v>0</v>
      </c>
    </row>
    <row r="20" spans="1:23">
      <c r="B20" s="150" t="s">
        <v>566</v>
      </c>
      <c r="C20" s="147"/>
      <c r="D20" s="148">
        <f t="shared" ref="D20:F20" si="0">SUM(D14:D19)</f>
        <v>-11849473.309774</v>
      </c>
      <c r="E20" s="148">
        <f t="shared" ref="E20" si="1">SUM(E14:E19)</f>
        <v>-24772194.668069996</v>
      </c>
      <c r="F20" s="148">
        <f t="shared" ref="F20" si="2">SUM(F14:F19)</f>
        <v>-25115586.922666002</v>
      </c>
      <c r="G20" s="148">
        <f t="shared" ref="G20" si="3">SUM(G14:G19)</f>
        <v>-26964345.717806004</v>
      </c>
      <c r="H20" s="148">
        <v>0</v>
      </c>
      <c r="I20" s="148">
        <v>0</v>
      </c>
      <c r="J20" s="148">
        <v>0</v>
      </c>
      <c r="K20" s="148">
        <v>0</v>
      </c>
      <c r="L20" s="148">
        <v>0</v>
      </c>
      <c r="M20" s="148">
        <v>0</v>
      </c>
      <c r="N20" s="148">
        <v>0</v>
      </c>
    </row>
    <row r="21" spans="1:23">
      <c r="A21" s="132"/>
      <c r="B21" s="420"/>
      <c r="C21" s="420"/>
      <c r="D21" s="148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132"/>
    </row>
    <row r="22" spans="1:23">
      <c r="A22" s="132"/>
      <c r="B22" s="407" t="s">
        <v>567</v>
      </c>
      <c r="C22" s="132"/>
      <c r="D22" s="148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</row>
    <row r="23" spans="1:23">
      <c r="A23" s="132"/>
      <c r="B23" s="132" t="s">
        <v>568</v>
      </c>
      <c r="C23" s="132"/>
      <c r="D23" s="148">
        <f>Cost!$E$14/12</f>
        <v>3598486.6999999997</v>
      </c>
      <c r="E23" s="148">
        <f>Cost!$E$14/12</f>
        <v>3598486.6999999997</v>
      </c>
      <c r="F23" s="148">
        <f>Cost!$E$14/12</f>
        <v>3598486.6999999997</v>
      </c>
      <c r="G23" s="148">
        <f>Cost!$E$14/12</f>
        <v>3598486.6999999997</v>
      </c>
      <c r="H23" s="132"/>
      <c r="I23" s="132"/>
      <c r="J23" s="132"/>
      <c r="K23" s="132"/>
      <c r="L23" s="132"/>
      <c r="M23" s="132"/>
      <c r="N23" s="132"/>
      <c r="O23" s="132"/>
    </row>
    <row r="24" spans="1:23">
      <c r="A24" s="132"/>
      <c r="B24" s="132" t="s">
        <v>144</v>
      </c>
      <c r="C24" s="132"/>
      <c r="D24" s="148">
        <f>Cost!$E$28/12</f>
        <v>47442.682066666661</v>
      </c>
      <c r="E24" s="148">
        <f>Cost!$E$28/12</f>
        <v>47442.682066666661</v>
      </c>
      <c r="F24" s="148">
        <f>Cost!$E$28/12</f>
        <v>47442.682066666661</v>
      </c>
      <c r="G24" s="148">
        <f>Cost!$E$28/12</f>
        <v>47442.682066666661</v>
      </c>
      <c r="H24" s="148">
        <v>0</v>
      </c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32"/>
    </row>
    <row r="25" spans="1:23">
      <c r="A25" s="132"/>
      <c r="B25" s="132" t="s">
        <v>569</v>
      </c>
      <c r="C25" s="132"/>
      <c r="D25" s="148">
        <f>Cost!$E$26</f>
        <v>1000000</v>
      </c>
      <c r="E25" s="148">
        <v>0</v>
      </c>
      <c r="F25" s="148">
        <v>0</v>
      </c>
      <c r="G25" s="148">
        <v>0</v>
      </c>
      <c r="H25" s="148">
        <v>0</v>
      </c>
      <c r="I25" s="132"/>
      <c r="J25" s="132"/>
      <c r="K25" s="132"/>
      <c r="L25" s="132"/>
      <c r="M25" s="132"/>
      <c r="N25" s="132"/>
      <c r="O25" s="132"/>
    </row>
    <row r="26" spans="1:23">
      <c r="A26" s="132"/>
      <c r="B26" s="132" t="s">
        <v>570</v>
      </c>
      <c r="C26" s="132"/>
      <c r="D26" s="432">
        <f>1%*D20</f>
        <v>-118494.73309774</v>
      </c>
      <c r="E26" s="432">
        <f t="shared" ref="E26:N26" si="4">1%*E20</f>
        <v>-247721.94668069997</v>
      </c>
      <c r="F26" s="432">
        <f t="shared" si="4"/>
        <v>-251155.86922666003</v>
      </c>
      <c r="G26" s="432">
        <f t="shared" si="4"/>
        <v>-269643.45717806002</v>
      </c>
      <c r="H26" s="432">
        <f t="shared" si="4"/>
        <v>0</v>
      </c>
      <c r="I26" s="432">
        <f t="shared" si="4"/>
        <v>0</v>
      </c>
      <c r="J26" s="432">
        <f t="shared" si="4"/>
        <v>0</v>
      </c>
      <c r="K26" s="432">
        <f t="shared" si="4"/>
        <v>0</v>
      </c>
      <c r="L26" s="432">
        <f t="shared" si="4"/>
        <v>0</v>
      </c>
      <c r="M26" s="432">
        <f t="shared" si="4"/>
        <v>0</v>
      </c>
      <c r="N26" s="432">
        <f t="shared" si="4"/>
        <v>0</v>
      </c>
      <c r="O26" s="422"/>
      <c r="P26" s="8"/>
      <c r="Q26" s="8"/>
      <c r="R26" s="8"/>
      <c r="S26" s="8"/>
      <c r="T26" s="8"/>
      <c r="U26" s="8"/>
      <c r="V26" s="8"/>
      <c r="W26" s="8"/>
    </row>
    <row r="27" spans="1:23">
      <c r="A27" s="132"/>
      <c r="B27" s="132"/>
      <c r="C27" s="132"/>
      <c r="D27" s="148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</row>
    <row r="28" spans="1:23">
      <c r="A28" s="132"/>
      <c r="B28" s="132"/>
      <c r="C28" s="132"/>
      <c r="D28" s="148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</row>
    <row r="29" spans="1:23">
      <c r="A29" s="132"/>
      <c r="B29" s="132"/>
      <c r="C29" s="132"/>
      <c r="D29" s="148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</row>
    <row r="30" spans="1:23">
      <c r="A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</row>
    <row r="31" spans="1:23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</row>
    <row r="32" spans="1:23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5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39EFB-F33D-724A-B9E5-B3B37F74A66B}">
  <dimension ref="B3:N52"/>
  <sheetViews>
    <sheetView topLeftCell="A8" zoomScale="142" workbookViewId="0">
      <selection activeCell="F38" sqref="F38"/>
    </sheetView>
  </sheetViews>
  <sheetFormatPr defaultColWidth="12" defaultRowHeight="12.95"/>
  <sheetData>
    <row r="3" spans="2:14">
      <c r="B3" s="423" t="s">
        <v>571</v>
      </c>
      <c r="C3" s="423"/>
      <c r="D3" s="424">
        <v>2024</v>
      </c>
      <c r="E3" s="424">
        <v>2025</v>
      </c>
      <c r="F3" s="424">
        <v>2026</v>
      </c>
      <c r="G3" s="424">
        <v>2027</v>
      </c>
      <c r="H3" s="424">
        <v>2028</v>
      </c>
      <c r="I3" s="424">
        <v>2029</v>
      </c>
      <c r="J3" s="424">
        <v>2030</v>
      </c>
      <c r="K3" s="424">
        <v>2031</v>
      </c>
      <c r="L3" s="424">
        <v>2032</v>
      </c>
      <c r="M3" s="424">
        <v>2033</v>
      </c>
      <c r="N3" s="424" t="s">
        <v>176</v>
      </c>
    </row>
    <row r="4" spans="2:14">
      <c r="B4" s="145" t="s">
        <v>559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</row>
    <row r="5" spans="2:14">
      <c r="B5" s="147" t="s">
        <v>560</v>
      </c>
      <c r="C5" s="147"/>
      <c r="D5" s="156">
        <f>'Market Housing NOI'!E17</f>
        <v>-7511733.5072000008</v>
      </c>
      <c r="E5" s="156">
        <f>'Market Housing NOI'!F17</f>
        <v>-6411445.6990999989</v>
      </c>
      <c r="F5" s="156">
        <f>'Market Housing NOI'!G17</f>
        <v>-5571341.7404000014</v>
      </c>
      <c r="G5" s="156">
        <f>'Market Housing NOI'!H17</f>
        <v>-5571341.7404000014</v>
      </c>
      <c r="H5" s="435">
        <f>'Market Housing NOI'!I17</f>
        <v>-5224151.4620000003</v>
      </c>
      <c r="I5" s="156">
        <f>'Market Housing NOI'!J17</f>
        <v>-3795228.884300001</v>
      </c>
      <c r="J5" s="438">
        <f>'Market Housing NOI'!K17</f>
        <v>-2899189.0804999992</v>
      </c>
      <c r="K5" s="148">
        <v>0</v>
      </c>
      <c r="L5" s="148">
        <v>0</v>
      </c>
      <c r="M5" s="148">
        <v>0</v>
      </c>
      <c r="N5" s="148">
        <v>0</v>
      </c>
    </row>
    <row r="6" spans="2:14">
      <c r="B6" s="147" t="s">
        <v>561</v>
      </c>
      <c r="C6" s="147"/>
      <c r="D6" s="148">
        <v>0</v>
      </c>
      <c r="E6" s="148">
        <v>0</v>
      </c>
      <c r="F6" s="148">
        <v>0</v>
      </c>
      <c r="G6" s="156">
        <f>'Affordable Housing NOI'!H17</f>
        <v>7499339.5319999997</v>
      </c>
      <c r="H6" s="435">
        <f>'Affordable Housing NOI'!I17</f>
        <v>7499339.5319999997</v>
      </c>
      <c r="I6" s="156">
        <f>'Affordable Housing NOI'!J17</f>
        <v>7499339.5319999997</v>
      </c>
      <c r="J6" s="438">
        <f>'Affordable Housing NOI'!K17</f>
        <v>-1090497.96</v>
      </c>
      <c r="K6" s="148">
        <v>0</v>
      </c>
      <c r="L6" s="148">
        <v>0</v>
      </c>
      <c r="M6" s="148">
        <v>0</v>
      </c>
      <c r="N6" s="148">
        <v>0</v>
      </c>
    </row>
    <row r="7" spans="2:14">
      <c r="B7" s="147" t="s">
        <v>562</v>
      </c>
      <c r="C7" s="147"/>
      <c r="D7" s="148">
        <f>'Office NOI'!E17</f>
        <v>13034722.567485999</v>
      </c>
      <c r="E7" s="148">
        <f>'Office NOI'!F17</f>
        <v>2114618.6423200015</v>
      </c>
      <c r="F7" s="148">
        <f>'Office NOI'!G17</f>
        <v>4148628.0628539994</v>
      </c>
      <c r="G7" s="148">
        <f>I!G7</f>
        <v>4148628.0628539994</v>
      </c>
      <c r="H7" s="435">
        <f>I!H7</f>
        <v>0</v>
      </c>
      <c r="I7" s="156">
        <f>I!I7</f>
        <v>0</v>
      </c>
      <c r="J7" s="438">
        <f>I!J7</f>
        <v>0</v>
      </c>
      <c r="K7" s="148">
        <v>0</v>
      </c>
      <c r="L7" s="148">
        <v>0</v>
      </c>
      <c r="M7" s="148">
        <v>0</v>
      </c>
      <c r="N7" s="148">
        <v>0</v>
      </c>
    </row>
    <row r="8" spans="2:14">
      <c r="B8" s="147" t="s">
        <v>14</v>
      </c>
      <c r="C8" s="149"/>
      <c r="D8" s="148">
        <f>'Retail NOI'!E17</f>
        <v>-146672.76436000003</v>
      </c>
      <c r="E8" s="148">
        <f>'Retail NOI'!F17</f>
        <v>2887339.8672099998</v>
      </c>
      <c r="F8" s="148">
        <f>'Retail NOI'!G17</f>
        <v>3586053.9161799997</v>
      </c>
      <c r="G8" s="148">
        <f>'Retail NOI'!H17</f>
        <v>4360200.8910400001</v>
      </c>
      <c r="H8" s="435">
        <f>'Retail NOI'!I17</f>
        <v>5227505.0870500002</v>
      </c>
      <c r="I8" s="156">
        <f>'Retail NOI'!J17</f>
        <v>5822222.64769</v>
      </c>
      <c r="J8" s="438">
        <f>'Retail NOI'!K17</f>
        <v>5822222.64769</v>
      </c>
      <c r="K8" s="148">
        <v>0</v>
      </c>
      <c r="L8" s="148">
        <v>0</v>
      </c>
      <c r="M8" s="148">
        <v>0</v>
      </c>
      <c r="N8" s="148">
        <v>0</v>
      </c>
    </row>
    <row r="9" spans="2:14">
      <c r="B9" s="147" t="s">
        <v>563</v>
      </c>
      <c r="C9" s="147"/>
      <c r="D9" s="148">
        <v>0</v>
      </c>
      <c r="E9" s="148">
        <v>0</v>
      </c>
      <c r="F9" s="148">
        <v>0</v>
      </c>
      <c r="G9" s="148">
        <f>[1]hotel!H18</f>
        <v>179126.9637694963</v>
      </c>
      <c r="H9" s="435">
        <f>[1]hotel!I18</f>
        <v>182709.50304488619</v>
      </c>
      <c r="I9" s="156">
        <f>[1]hotel!J18</f>
        <v>186363.69310578392</v>
      </c>
      <c r="J9" s="438">
        <f>[1]hotel!K18</f>
        <v>190090.96696789964</v>
      </c>
      <c r="K9" s="148">
        <v>0</v>
      </c>
      <c r="L9" s="148">
        <v>0</v>
      </c>
      <c r="M9" s="148">
        <v>0</v>
      </c>
      <c r="N9" s="148">
        <v>0</v>
      </c>
    </row>
    <row r="10" spans="2:14">
      <c r="B10" s="147" t="s">
        <v>19</v>
      </c>
      <c r="C10" s="147"/>
      <c r="D10" s="148">
        <f>'Parking NOI'!E17</f>
        <v>420928.31249999977</v>
      </c>
      <c r="E10" s="148">
        <f>'Parking NOI'!F17</f>
        <v>1779305.2725</v>
      </c>
      <c r="F10" s="148">
        <f>'Parking NOI'!G17</f>
        <v>3566579.5125000002</v>
      </c>
      <c r="G10" s="148">
        <f>'Parking NOI'!H17</f>
        <v>4849254.7125000004</v>
      </c>
      <c r="H10" s="435">
        <f>'Parking NOI'!I17</f>
        <v>5668549.4325000001</v>
      </c>
      <c r="I10" s="156">
        <f>'Parking NOI'!J17</f>
        <v>6426880.3125</v>
      </c>
      <c r="J10" s="438">
        <f>'Parking NOI'!K17</f>
        <v>6946631.9924999997</v>
      </c>
      <c r="K10" s="148">
        <v>0</v>
      </c>
      <c r="L10" s="148">
        <v>0</v>
      </c>
      <c r="M10" s="148">
        <v>0</v>
      </c>
      <c r="N10" s="148">
        <v>0</v>
      </c>
    </row>
    <row r="11" spans="2:14">
      <c r="B11" s="150" t="s">
        <v>564</v>
      </c>
      <c r="C11" s="147"/>
      <c r="D11" s="148">
        <f t="shared" ref="D11:F11" si="0">SUM(D5:D10)</f>
        <v>5797244.6084259981</v>
      </c>
      <c r="E11" s="148">
        <f t="shared" si="0"/>
        <v>369818.08293000236</v>
      </c>
      <c r="F11" s="148">
        <f t="shared" si="0"/>
        <v>5729919.7511339979</v>
      </c>
      <c r="G11" s="148">
        <f>SUM(G5:G10)</f>
        <v>15465208.421763493</v>
      </c>
      <c r="H11" s="435">
        <f>SUM(H5:H10)</f>
        <v>13353952.092594886</v>
      </c>
      <c r="I11" s="156">
        <f>SUM(I5:I10)</f>
        <v>16139577.300995782</v>
      </c>
      <c r="J11" s="438">
        <f t="shared" ref="J11:M11" si="1">SUM(J5:J10)</f>
        <v>8969258.5666579008</v>
      </c>
      <c r="K11" s="148">
        <f t="shared" si="1"/>
        <v>0</v>
      </c>
      <c r="L11" s="148">
        <f t="shared" si="1"/>
        <v>0</v>
      </c>
      <c r="M11" s="148">
        <f t="shared" si="1"/>
        <v>0</v>
      </c>
      <c r="N11" s="148">
        <v>0</v>
      </c>
    </row>
    <row r="12" spans="2:14">
      <c r="B12" s="147"/>
      <c r="C12" s="147"/>
      <c r="D12" s="148">
        <v>0</v>
      </c>
      <c r="E12" s="148">
        <v>0</v>
      </c>
      <c r="F12" s="148">
        <v>0</v>
      </c>
      <c r="G12" s="148"/>
      <c r="H12" s="435"/>
      <c r="I12" s="156"/>
      <c r="J12" s="438"/>
      <c r="K12" s="148">
        <v>0</v>
      </c>
      <c r="L12" s="148">
        <v>0</v>
      </c>
      <c r="M12" s="148">
        <v>0</v>
      </c>
      <c r="N12" s="148">
        <v>0</v>
      </c>
    </row>
    <row r="13" spans="2:14">
      <c r="B13" s="145" t="s">
        <v>565</v>
      </c>
      <c r="C13" s="146"/>
      <c r="D13" s="148">
        <v>0</v>
      </c>
      <c r="E13" s="148"/>
      <c r="F13" s="148"/>
      <c r="G13" s="148"/>
      <c r="H13" s="435"/>
      <c r="I13" s="156"/>
      <c r="J13" s="438"/>
      <c r="K13" s="148">
        <v>0</v>
      </c>
      <c r="L13" s="148">
        <v>0</v>
      </c>
      <c r="M13" s="148">
        <v>0</v>
      </c>
      <c r="N13" s="148">
        <v>0</v>
      </c>
    </row>
    <row r="14" spans="2:14">
      <c r="B14" s="147" t="s">
        <v>560</v>
      </c>
      <c r="C14" s="147"/>
      <c r="D14" s="148">
        <f>'Market Housing NOI'!E15</f>
        <v>-8804936.0672000013</v>
      </c>
      <c r="E14" s="148">
        <f>'Market Housing NOI'!F15</f>
        <v>-8887753.4290999994</v>
      </c>
      <c r="F14" s="148">
        <f>'Market Housing NOI'!G15</f>
        <v>-8950987.0604000017</v>
      </c>
      <c r="G14" s="148">
        <f>'Market Housing NOI'!H15</f>
        <v>-8950987.0604000017</v>
      </c>
      <c r="H14" s="435">
        <f>'Market Housing NOI'!I15</f>
        <v>-8977119.6620000005</v>
      </c>
      <c r="I14" s="156">
        <f>'Market Housing NOI'!J15</f>
        <v>-9084672.9743000008</v>
      </c>
      <c r="J14" s="438">
        <f>'Market Housing NOI'!K15</f>
        <v>-9152116.8304999992</v>
      </c>
      <c r="K14" s="148">
        <v>0</v>
      </c>
      <c r="L14" s="148">
        <v>0</v>
      </c>
      <c r="M14" s="148">
        <v>0</v>
      </c>
      <c r="N14" s="148">
        <v>0</v>
      </c>
    </row>
    <row r="15" spans="2:14">
      <c r="B15" s="147" t="s">
        <v>561</v>
      </c>
      <c r="C15" s="147"/>
      <c r="D15" s="148">
        <v>0</v>
      </c>
      <c r="E15" s="148">
        <f>'[1]res, affordable'!F19</f>
        <v>0</v>
      </c>
      <c r="F15" s="148">
        <f>'[1]res, affordable'!G19</f>
        <v>0</v>
      </c>
      <c r="G15" s="148">
        <f>'Affordable Housing NOI'!H15</f>
        <v>-1737044.8680000002</v>
      </c>
      <c r="H15" s="435">
        <f>'Affordable Housing NOI'!I15</f>
        <v>-1737044.8680000002</v>
      </c>
      <c r="I15" s="156">
        <f>'Affordable Housing NOI'!J15</f>
        <v>-1737044.8680000002</v>
      </c>
      <c r="J15" s="438">
        <f>'Affordable Housing NOI'!K15</f>
        <v>-1090497.96</v>
      </c>
      <c r="K15" s="148">
        <v>0</v>
      </c>
      <c r="L15" s="148">
        <v>0</v>
      </c>
      <c r="M15" s="148">
        <v>0</v>
      </c>
      <c r="N15" s="148">
        <v>0</v>
      </c>
    </row>
    <row r="16" spans="2:14">
      <c r="B16" s="147" t="s">
        <v>562</v>
      </c>
      <c r="C16" s="147"/>
      <c r="D16" s="148">
        <f>'Office NOI'!E15</f>
        <v>-1063298.0427140002</v>
      </c>
      <c r="E16" s="148">
        <f>'Office NOI'!F15</f>
        <v>-13813935.381679999</v>
      </c>
      <c r="F16" s="148">
        <f>'Office NOI'!G15</f>
        <v>-13967032.864946</v>
      </c>
      <c r="G16" s="148">
        <f>'Office NOI'!H15</f>
        <v>-13967032.864946</v>
      </c>
      <c r="H16" s="435">
        <f>'Office NOI'!I15</f>
        <v>-13967032.864946</v>
      </c>
      <c r="I16" s="156">
        <f>'Office NOI'!J15</f>
        <v>-13967032.864946</v>
      </c>
      <c r="J16" s="438">
        <f>'Office NOI'!K15</f>
        <v>-13967032.864946</v>
      </c>
      <c r="K16" s="148">
        <v>0</v>
      </c>
      <c r="L16" s="148">
        <v>0</v>
      </c>
      <c r="M16" s="148">
        <v>0</v>
      </c>
      <c r="N16" s="148">
        <v>0</v>
      </c>
    </row>
    <row r="17" spans="2:14">
      <c r="B17" s="149" t="s">
        <v>14</v>
      </c>
      <c r="C17" s="149"/>
      <c r="D17" s="148">
        <f>'Retail NOI'!E15</f>
        <v>-498527.51236000005</v>
      </c>
      <c r="E17" s="148">
        <f>'Retail NOI'!F15</f>
        <v>-531195.12979000004</v>
      </c>
      <c r="F17" s="148">
        <f>'Retail NOI'!G15</f>
        <v>-583786.50982000004</v>
      </c>
      <c r="G17" s="148">
        <f>'Retail NOI'!H15</f>
        <v>-642055.63696000003</v>
      </c>
      <c r="H17" s="435">
        <f>'Retail NOI'!I15</f>
        <v>-707336.59795000008</v>
      </c>
      <c r="I17" s="156">
        <f>'Retail NOI'!J15</f>
        <v>-752100.28531000006</v>
      </c>
      <c r="J17" s="438">
        <f>'Retail NOI'!K15</f>
        <v>-752100.28531000006</v>
      </c>
      <c r="K17" s="148">
        <v>0</v>
      </c>
      <c r="L17" s="148">
        <v>0</v>
      </c>
      <c r="M17" s="148">
        <v>0</v>
      </c>
      <c r="N17" s="148">
        <v>0</v>
      </c>
    </row>
    <row r="18" spans="2:14">
      <c r="B18" s="147" t="s">
        <v>563</v>
      </c>
      <c r="C18" s="147"/>
      <c r="D18" s="148">
        <v>0</v>
      </c>
      <c r="E18" s="148">
        <f>[1]hotel!F22</f>
        <v>0</v>
      </c>
      <c r="F18" s="148">
        <f>[1]hotel!G22</f>
        <v>0</v>
      </c>
      <c r="G18" s="148">
        <f>[1]hotel!H22</f>
        <v>0</v>
      </c>
      <c r="H18" s="435">
        <f>[1]office!I21</f>
        <v>-17793.590982499994</v>
      </c>
      <c r="I18" s="156">
        <f>[1]office!J21</f>
        <v>-26690.386473749993</v>
      </c>
      <c r="J18" s="438">
        <f>[1]office!K21</f>
        <v>-26690.386473749993</v>
      </c>
      <c r="K18" s="148">
        <v>0</v>
      </c>
      <c r="L18" s="148">
        <v>0</v>
      </c>
      <c r="M18" s="148">
        <v>0</v>
      </c>
      <c r="N18" s="148">
        <v>0</v>
      </c>
    </row>
    <row r="19" spans="2:14">
      <c r="B19" s="147" t="s">
        <v>19</v>
      </c>
      <c r="C19" s="147"/>
      <c r="D19" s="148">
        <f>'Parking NOI'!E15</f>
        <v>-1482711.6875000002</v>
      </c>
      <c r="E19" s="148">
        <f>'Parking NOI'!F15</f>
        <v>-1539310.7275</v>
      </c>
      <c r="F19" s="148">
        <f>'Parking NOI'!G15</f>
        <v>-1613780.4875</v>
      </c>
      <c r="G19" s="148">
        <f>'Parking NOI'!H15</f>
        <v>-1667225.2875000001</v>
      </c>
      <c r="H19" s="435">
        <f>'Parking NOI'!I15</f>
        <v>-1701362.5675000001</v>
      </c>
      <c r="I19" s="156">
        <f>'Parking NOI'!J15</f>
        <v>-1732959.6875000002</v>
      </c>
      <c r="J19" s="438">
        <f>'Parking NOI'!K15</f>
        <v>-1754616.0075000001</v>
      </c>
      <c r="K19" s="148">
        <v>0</v>
      </c>
      <c r="L19" s="148">
        <v>0</v>
      </c>
      <c r="M19" s="148">
        <v>0</v>
      </c>
      <c r="N19" s="148">
        <v>0</v>
      </c>
    </row>
    <row r="20" spans="2:14">
      <c r="B20" s="150" t="s">
        <v>566</v>
      </c>
      <c r="C20" s="147"/>
      <c r="D20" s="148">
        <f t="shared" ref="D20:G20" si="2">SUM(D14:D19)</f>
        <v>-11849473.309774</v>
      </c>
      <c r="E20" s="148">
        <f t="shared" si="2"/>
        <v>-24772194.668069996</v>
      </c>
      <c r="F20" s="148">
        <f t="shared" si="2"/>
        <v>-25115586.922666002</v>
      </c>
      <c r="G20" s="148">
        <f t="shared" si="2"/>
        <v>-26964345.717806004</v>
      </c>
      <c r="H20" s="435">
        <f t="shared" ref="H20" si="3">SUM(H14:H19)</f>
        <v>-27107690.151378501</v>
      </c>
      <c r="I20" s="156">
        <f t="shared" ref="I20" si="4">SUM(I14:I19)</f>
        <v>-27300501.066529751</v>
      </c>
      <c r="J20" s="438">
        <f t="shared" ref="J20" si="5">SUM(J14:J19)</f>
        <v>-26743054.33472975</v>
      </c>
      <c r="K20" s="148">
        <v>0</v>
      </c>
      <c r="L20" s="148">
        <v>0</v>
      </c>
      <c r="M20" s="148">
        <v>0</v>
      </c>
      <c r="N20" s="148">
        <v>0</v>
      </c>
    </row>
    <row r="21" spans="2:14">
      <c r="B21" s="147"/>
      <c r="C21" s="147"/>
      <c r="D21" s="148"/>
      <c r="E21" s="148"/>
      <c r="F21" s="148"/>
      <c r="G21" s="148"/>
      <c r="H21" s="435"/>
      <c r="I21" s="156"/>
      <c r="J21" s="438"/>
      <c r="K21" s="148"/>
      <c r="L21" s="148"/>
      <c r="M21" s="148"/>
      <c r="N21" s="148"/>
    </row>
    <row r="22" spans="2:14">
      <c r="B22" s="407" t="s">
        <v>567</v>
      </c>
      <c r="C22" s="132"/>
      <c r="D22" s="148"/>
      <c r="E22" s="132"/>
      <c r="F22" s="132"/>
      <c r="G22" s="132"/>
      <c r="H22" s="436"/>
      <c r="I22" s="132"/>
      <c r="J22" s="439"/>
      <c r="K22" s="132"/>
      <c r="L22" s="132"/>
      <c r="M22" s="132"/>
      <c r="N22" s="132"/>
    </row>
    <row r="23" spans="2:14">
      <c r="B23" s="132" t="s">
        <v>568</v>
      </c>
      <c r="C23" s="132"/>
      <c r="D23" s="148">
        <f>Cost!$E$14/12</f>
        <v>3598486.6999999997</v>
      </c>
      <c r="E23" s="148">
        <f>Cost!$E$14/12</f>
        <v>3598486.6999999997</v>
      </c>
      <c r="F23" s="148">
        <f>Cost!$E$14/12</f>
        <v>3598486.6999999997</v>
      </c>
      <c r="G23" s="148">
        <f>Cost!$E$14/12</f>
        <v>3598486.6999999997</v>
      </c>
      <c r="H23" s="435">
        <f>Cost!$E$14/12</f>
        <v>3598486.6999999997</v>
      </c>
      <c r="I23" s="156">
        <f>Cost!$E$14/12</f>
        <v>3598486.6999999997</v>
      </c>
      <c r="J23" s="438">
        <f>Cost!$E$14/12</f>
        <v>3598486.6999999997</v>
      </c>
      <c r="K23" s="132"/>
      <c r="L23" s="132"/>
      <c r="M23" s="132"/>
      <c r="N23" s="132"/>
    </row>
    <row r="24" spans="2:14">
      <c r="B24" s="132" t="s">
        <v>144</v>
      </c>
      <c r="C24" s="132"/>
      <c r="D24" s="148">
        <f>Cost!$E$28/12</f>
        <v>47442.682066666661</v>
      </c>
      <c r="E24" s="148">
        <f>Cost!$E$28/12</f>
        <v>47442.682066666661</v>
      </c>
      <c r="F24" s="148">
        <f>Cost!$E$28/12</f>
        <v>47442.682066666661</v>
      </c>
      <c r="G24" s="148">
        <f>Cost!$E$28/12</f>
        <v>47442.682066666661</v>
      </c>
      <c r="H24" s="435">
        <f>Cost!$E$28/12</f>
        <v>47442.682066666661</v>
      </c>
      <c r="I24" s="156">
        <f>Cost!$E$28/12</f>
        <v>47442.682066666661</v>
      </c>
      <c r="J24" s="438">
        <f>Cost!$E$28/12</f>
        <v>47442.682066666661</v>
      </c>
      <c r="K24" s="148">
        <v>0</v>
      </c>
      <c r="L24" s="148">
        <v>0</v>
      </c>
      <c r="M24" s="148">
        <v>0</v>
      </c>
      <c r="N24" s="148">
        <v>0</v>
      </c>
    </row>
    <row r="25" spans="2:14">
      <c r="B25" s="132" t="s">
        <v>569</v>
      </c>
      <c r="C25" s="132"/>
      <c r="D25" s="148">
        <f>Cost!$E$26</f>
        <v>1000000</v>
      </c>
      <c r="E25" s="148">
        <v>0</v>
      </c>
      <c r="F25" s="148">
        <v>0</v>
      </c>
      <c r="G25" s="148">
        <v>0</v>
      </c>
      <c r="H25" s="435">
        <v>0</v>
      </c>
      <c r="I25" s="156">
        <v>0</v>
      </c>
      <c r="J25" s="438">
        <v>0</v>
      </c>
      <c r="K25" s="148">
        <v>0</v>
      </c>
      <c r="L25" s="148">
        <v>0</v>
      </c>
      <c r="M25" s="148">
        <v>0</v>
      </c>
      <c r="N25" s="148">
        <v>0</v>
      </c>
    </row>
    <row r="26" spans="2:14">
      <c r="B26" s="132" t="s">
        <v>570</v>
      </c>
      <c r="C26" s="132"/>
      <c r="D26" s="432">
        <f>1%*D20</f>
        <v>-118494.73309774</v>
      </c>
      <c r="E26" s="432">
        <f t="shared" ref="E26:N26" si="6">1%*E20</f>
        <v>-247721.94668069997</v>
      </c>
      <c r="F26" s="432">
        <f t="shared" si="6"/>
        <v>-251155.86922666003</v>
      </c>
      <c r="G26" s="432">
        <f t="shared" si="6"/>
        <v>-269643.45717806002</v>
      </c>
      <c r="H26" s="437">
        <f t="shared" si="6"/>
        <v>-271076.90151378501</v>
      </c>
      <c r="I26" s="432">
        <f t="shared" si="6"/>
        <v>-273005.01066529751</v>
      </c>
      <c r="J26" s="440">
        <f t="shared" si="6"/>
        <v>-267430.54334729753</v>
      </c>
      <c r="K26" s="432">
        <f t="shared" si="6"/>
        <v>0</v>
      </c>
      <c r="L26" s="432">
        <f t="shared" si="6"/>
        <v>0</v>
      </c>
      <c r="M26" s="432">
        <f t="shared" si="6"/>
        <v>0</v>
      </c>
      <c r="N26" s="432">
        <f t="shared" si="6"/>
        <v>0</v>
      </c>
    </row>
    <row r="27" spans="2:14">
      <c r="B27" s="132"/>
      <c r="C27" s="132"/>
      <c r="D27" s="148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2:14">
      <c r="B28" s="132"/>
      <c r="C28" s="132"/>
      <c r="D28" s="148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2:14">
      <c r="B29" s="132"/>
      <c r="C29" s="132"/>
      <c r="D29" s="148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2:14">
      <c r="B30" s="132"/>
      <c r="C30" s="132"/>
      <c r="D30" s="148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2:14">
      <c r="B31" s="132"/>
      <c r="C31" s="132"/>
      <c r="D31" s="148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2:14"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2:14"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2:14">
      <c r="B34" s="145"/>
      <c r="C34" s="14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</row>
    <row r="35" spans="2:14">
      <c r="B35" s="145"/>
      <c r="C35" s="14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</row>
    <row r="36" spans="2:14">
      <c r="B36" s="145"/>
      <c r="C36" s="151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</row>
    <row r="37" spans="2:14">
      <c r="B37" s="146"/>
      <c r="C37" s="146"/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6"/>
    </row>
    <row r="38" spans="2:14">
      <c r="B38" s="145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</row>
    <row r="39" spans="2:14"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</row>
    <row r="40" spans="2:14">
      <c r="B40" s="146"/>
      <c r="C40" s="146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</row>
    <row r="41" spans="2:14">
      <c r="B41" s="146"/>
      <c r="C41" s="146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</row>
    <row r="42" spans="2:14">
      <c r="B42" s="153"/>
      <c r="C42" s="154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</row>
    <row r="43" spans="2:14">
      <c r="B43" s="154"/>
      <c r="C43" s="14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</row>
    <row r="44" spans="2:14">
      <c r="B44" s="154"/>
      <c r="C44" s="14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</row>
    <row r="45" spans="2:14">
      <c r="B45" s="154"/>
      <c r="C45" s="154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</row>
    <row r="46" spans="2:14">
      <c r="B46" s="154"/>
      <c r="C46" s="154"/>
      <c r="D46" s="156"/>
      <c r="E46" s="156"/>
      <c r="F46" s="156"/>
      <c r="G46" s="157"/>
      <c r="H46" s="156"/>
      <c r="I46" s="156"/>
      <c r="J46" s="156"/>
      <c r="K46" s="156"/>
      <c r="L46" s="156"/>
      <c r="M46" s="156"/>
      <c r="N46" s="156"/>
    </row>
    <row r="47" spans="2:14">
      <c r="B47" s="146"/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</row>
    <row r="48" spans="2:14">
      <c r="B48" s="153"/>
      <c r="C48" s="154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</row>
    <row r="49" spans="2:14">
      <c r="B49" s="154"/>
      <c r="C49" s="154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</row>
    <row r="50" spans="2:14">
      <c r="B50" s="154"/>
      <c r="C50" s="154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</row>
    <row r="51" spans="2:14">
      <c r="B51" s="154"/>
      <c r="C51" s="154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</row>
    <row r="52" spans="2:14">
      <c r="B52" s="154"/>
      <c r="C52" s="154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9E3AE-42AA-F843-A193-1F530953E9A9}">
  <dimension ref="B3:N50"/>
  <sheetViews>
    <sheetView topLeftCell="C25" zoomScale="241" workbookViewId="0">
      <selection activeCell="H36" sqref="H36"/>
    </sheetView>
  </sheetViews>
  <sheetFormatPr defaultColWidth="12" defaultRowHeight="12.95"/>
  <sheetData>
    <row r="3" spans="2:14">
      <c r="B3" s="423" t="s">
        <v>572</v>
      </c>
      <c r="C3" s="423"/>
      <c r="D3" s="424">
        <v>2024</v>
      </c>
      <c r="E3" s="424">
        <v>2025</v>
      </c>
      <c r="F3" s="424">
        <v>2026</v>
      </c>
      <c r="G3" s="424">
        <v>2027</v>
      </c>
      <c r="H3" s="424">
        <v>2028</v>
      </c>
      <c r="I3" s="424">
        <v>2029</v>
      </c>
      <c r="J3" s="424">
        <v>2030</v>
      </c>
      <c r="K3" s="424">
        <v>2031</v>
      </c>
      <c r="L3" s="424">
        <v>2032</v>
      </c>
      <c r="M3" s="424">
        <v>2033</v>
      </c>
      <c r="N3" s="424" t="s">
        <v>176</v>
      </c>
    </row>
    <row r="4" spans="2:14">
      <c r="B4" s="145" t="s">
        <v>559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</row>
    <row r="5" spans="2:14">
      <c r="B5" s="147" t="s">
        <v>560</v>
      </c>
      <c r="C5" s="147"/>
      <c r="D5" s="156">
        <f>'Market Housing NOI'!E17</f>
        <v>-7511733.5072000008</v>
      </c>
      <c r="E5" s="156">
        <f>'Market Housing NOI'!F17</f>
        <v>-6411445.6990999989</v>
      </c>
      <c r="F5" s="156">
        <f>'Market Housing NOI'!G17</f>
        <v>-5571341.7404000014</v>
      </c>
      <c r="G5" s="156">
        <f>'Market Housing NOI'!H17</f>
        <v>-5571341.7404000014</v>
      </c>
      <c r="H5" s="435">
        <f>'Market Housing NOI'!I17</f>
        <v>-5224151.4620000003</v>
      </c>
      <c r="I5" s="156">
        <f>'Market Housing NOI'!J17</f>
        <v>-3795228.884300001</v>
      </c>
      <c r="J5" s="438">
        <f>'Market Housing NOI'!K17</f>
        <v>-2899189.0804999992</v>
      </c>
      <c r="K5" s="156">
        <f>'Market Housing NOI'!L17</f>
        <v>-2899189.0804999992</v>
      </c>
      <c r="L5" s="156">
        <f>'Market Housing NOI'!M17</f>
        <v>-2899189.0804999992</v>
      </c>
      <c r="M5" s="156">
        <f>'Market Housing NOI'!N17</f>
        <v>-2371544.2805000003</v>
      </c>
      <c r="N5" s="148">
        <v>0</v>
      </c>
    </row>
    <row r="6" spans="2:14">
      <c r="B6" s="147" t="s">
        <v>561</v>
      </c>
      <c r="C6" s="147"/>
      <c r="D6" s="148">
        <v>0</v>
      </c>
      <c r="E6" s="148">
        <v>0</v>
      </c>
      <c r="F6" s="148">
        <v>0</v>
      </c>
      <c r="G6" s="148">
        <f>'[1]res, affordable'!H15</f>
        <v>-598775.20016174996</v>
      </c>
      <c r="H6" s="435">
        <f>'[1]res, affordable'!I15</f>
        <v>-610750.70416498487</v>
      </c>
      <c r="I6" s="156">
        <f>'[1]res, affordable'!J15</f>
        <v>-622965.71824828465</v>
      </c>
      <c r="J6" s="438">
        <f>'[1]res, affordable'!K15</f>
        <v>-635425.03261325043</v>
      </c>
      <c r="K6" s="148">
        <f>'[1]res, affordable'!L15</f>
        <v>-648133.53326551546</v>
      </c>
      <c r="L6" s="148">
        <f>'[1]res, affordable'!M15</f>
        <v>-661096.20393082558</v>
      </c>
      <c r="M6" s="148">
        <f>'[1]res, affordable'!N15</f>
        <v>-674318.12800944212</v>
      </c>
      <c r="N6" s="148">
        <v>0</v>
      </c>
    </row>
    <row r="7" spans="2:14">
      <c r="B7" s="147" t="s">
        <v>562</v>
      </c>
      <c r="C7" s="147"/>
      <c r="D7" s="148">
        <f>'Office NOI'!E17</f>
        <v>13034722.567485999</v>
      </c>
      <c r="E7" s="148">
        <f>'Office NOI'!F17</f>
        <v>2114618.6423200015</v>
      </c>
      <c r="F7" s="148">
        <f>'Office NOI'!G17</f>
        <v>4148628.0628539994</v>
      </c>
      <c r="G7" s="148">
        <f>'Office NOI'!H17</f>
        <v>4148628.0628539994</v>
      </c>
      <c r="H7" s="435">
        <f>'Office NOI'!I17</f>
        <v>4148628.0628539994</v>
      </c>
      <c r="I7" s="156">
        <f>'Office NOI'!J17</f>
        <v>4148628.0628539994</v>
      </c>
      <c r="J7" s="438">
        <f>'Office NOI'!K17</f>
        <v>4148628.0628539994</v>
      </c>
      <c r="K7" s="148">
        <f>'Office NOI'!L17</f>
        <v>4148628.0628539994</v>
      </c>
      <c r="L7" s="148">
        <f>'Office NOI'!M17</f>
        <v>4148628.0628539994</v>
      </c>
      <c r="M7" s="148">
        <f>'Office NOI'!N17</f>
        <v>8259363.5409760009</v>
      </c>
      <c r="N7" s="148">
        <v>0</v>
      </c>
    </row>
    <row r="8" spans="2:14">
      <c r="B8" s="147" t="s">
        <v>14</v>
      </c>
      <c r="C8" s="149"/>
      <c r="D8" s="148">
        <f>'Retail NOI'!E17</f>
        <v>-146672.76436000003</v>
      </c>
      <c r="E8" s="148">
        <f>'Retail NOI'!F17</f>
        <v>2887339.8672099998</v>
      </c>
      <c r="F8" s="148">
        <f>'Retail NOI'!G17</f>
        <v>3586053.9161799997</v>
      </c>
      <c r="G8" s="148">
        <f>'Retail NOI'!H17</f>
        <v>4360200.8910400001</v>
      </c>
      <c r="H8" s="435">
        <f>'Retail NOI'!I17</f>
        <v>5227505.0870500002</v>
      </c>
      <c r="I8" s="156">
        <f>'Retail NOI'!J17</f>
        <v>5822222.64769</v>
      </c>
      <c r="J8" s="438">
        <f>'Retail NOI'!K17</f>
        <v>5822222.64769</v>
      </c>
      <c r="K8" s="148">
        <f>'Retail NOI'!L17</f>
        <v>5822222.64769</v>
      </c>
      <c r="L8" s="148">
        <f>'Retail NOI'!M17</f>
        <v>6374583.3295</v>
      </c>
      <c r="M8" s="148">
        <f>'Retail NOI'!N17</f>
        <v>6926944.01131</v>
      </c>
      <c r="N8" s="148">
        <v>0</v>
      </c>
    </row>
    <row r="9" spans="2:14">
      <c r="B9" s="147" t="s">
        <v>563</v>
      </c>
      <c r="C9" s="147"/>
      <c r="D9" s="148">
        <v>0</v>
      </c>
      <c r="E9" s="148">
        <v>0</v>
      </c>
      <c r="F9" s="148">
        <v>0</v>
      </c>
      <c r="G9" s="148">
        <v>0</v>
      </c>
      <c r="H9" s="435">
        <v>0</v>
      </c>
      <c r="I9" s="156">
        <v>0</v>
      </c>
      <c r="J9" s="438">
        <v>0</v>
      </c>
      <c r="K9" s="148">
        <v>0</v>
      </c>
      <c r="L9" s="148">
        <f>'Hotel NOI'!M17</f>
        <v>49523.787279999815</v>
      </c>
      <c r="M9" s="148">
        <f>'Hotel NOI'!N17</f>
        <v>49523.787279999815</v>
      </c>
      <c r="N9" s="148">
        <v>0</v>
      </c>
    </row>
    <row r="10" spans="2:14">
      <c r="B10" s="147" t="s">
        <v>19</v>
      </c>
      <c r="C10" s="147"/>
      <c r="D10" s="148">
        <f>'Parking NOI'!E17</f>
        <v>420928.31249999977</v>
      </c>
      <c r="E10" s="148">
        <f>'Parking NOI'!F17</f>
        <v>1779305.2725</v>
      </c>
      <c r="F10" s="148">
        <f>'Parking NOI'!G17</f>
        <v>3566579.5125000002</v>
      </c>
      <c r="G10" s="148">
        <f>'Parking NOI'!H17</f>
        <v>4849254.7125000004</v>
      </c>
      <c r="H10" s="435">
        <f>'Parking NOI'!I17</f>
        <v>5668549.4325000001</v>
      </c>
      <c r="I10" s="156">
        <f>'Parking NOI'!J17</f>
        <v>6426880.3125</v>
      </c>
      <c r="J10" s="438">
        <f>'Parking NOI'!K17</f>
        <v>6946631.9924999997</v>
      </c>
      <c r="K10" s="148">
        <f>'Parking NOI'!L17</f>
        <v>6946631.9924999997</v>
      </c>
      <c r="L10" s="148">
        <f>'Parking NOI'!M17</f>
        <v>8370849.5924999993</v>
      </c>
      <c r="M10" s="148">
        <f>'Parking NOI'!N17</f>
        <v>10305579.8325</v>
      </c>
      <c r="N10" s="148">
        <v>0</v>
      </c>
    </row>
    <row r="11" spans="2:14">
      <c r="B11" s="150" t="s">
        <v>564</v>
      </c>
      <c r="C11" s="147"/>
      <c r="D11" s="148">
        <f t="shared" ref="D11:F11" si="0">SUM(D5:D10)</f>
        <v>5797244.6084259981</v>
      </c>
      <c r="E11" s="148">
        <f t="shared" si="0"/>
        <v>369818.08293000236</v>
      </c>
      <c r="F11" s="148">
        <f t="shared" si="0"/>
        <v>5729919.7511339979</v>
      </c>
      <c r="G11" s="148">
        <f>SUM(G5:G10)</f>
        <v>7187966.725832249</v>
      </c>
      <c r="H11" s="435">
        <f>SUM(H5:H10)</f>
        <v>9209780.4162390158</v>
      </c>
      <c r="I11" s="156">
        <f>SUM(I5:I10)</f>
        <v>11979536.420495715</v>
      </c>
      <c r="J11" s="438">
        <f>SUM(J5:J10)</f>
        <v>13382868.58993075</v>
      </c>
      <c r="K11" s="148">
        <f t="shared" ref="K11:M11" si="1">SUM(K5:K10)</f>
        <v>13370160.089278486</v>
      </c>
      <c r="L11" s="148">
        <f t="shared" si="1"/>
        <v>15383299.487703174</v>
      </c>
      <c r="M11" s="148">
        <f t="shared" si="1"/>
        <v>22495548.763556559</v>
      </c>
      <c r="N11" s="148">
        <v>0</v>
      </c>
    </row>
    <row r="12" spans="2:14">
      <c r="H12" s="442"/>
      <c r="J12" s="441"/>
      <c r="N12" s="148"/>
    </row>
    <row r="13" spans="2:14">
      <c r="B13" s="145" t="s">
        <v>565</v>
      </c>
      <c r="C13" s="146"/>
      <c r="D13" s="148">
        <v>0</v>
      </c>
      <c r="E13" s="148"/>
      <c r="F13" s="148"/>
      <c r="G13" s="148"/>
      <c r="H13" s="435"/>
      <c r="I13" s="156"/>
      <c r="J13" s="438"/>
      <c r="K13" s="148"/>
      <c r="L13" s="148"/>
      <c r="M13" s="148"/>
      <c r="N13" s="148"/>
    </row>
    <row r="14" spans="2:14">
      <c r="B14" s="147" t="s">
        <v>560</v>
      </c>
      <c r="C14" s="147"/>
      <c r="D14" s="148">
        <f>'Market Housing NOI'!E15</f>
        <v>-8804936.0672000013</v>
      </c>
      <c r="E14" s="148">
        <f>'Market Housing NOI'!F15</f>
        <v>-8887753.4290999994</v>
      </c>
      <c r="F14" s="148">
        <f>'Market Housing NOI'!G15</f>
        <v>-8950987.0604000017</v>
      </c>
      <c r="G14" s="148">
        <f>'Market Housing NOI'!H15</f>
        <v>-8950987.0604000017</v>
      </c>
      <c r="H14" s="435">
        <f>'Market Housing NOI'!I15</f>
        <v>-8977119.6620000005</v>
      </c>
      <c r="I14" s="156">
        <f>'Market Housing NOI'!J15</f>
        <v>-9084672.9743000008</v>
      </c>
      <c r="J14" s="438">
        <f>'Market Housing NOI'!K15</f>
        <v>-9152116.8304999992</v>
      </c>
      <c r="K14" s="148">
        <f>'Market Housing NOI'!L15</f>
        <v>-9152116.8304999992</v>
      </c>
      <c r="L14" s="148">
        <f>'Market Housing NOI'!M15</f>
        <v>-9152116.8304999992</v>
      </c>
      <c r="M14" s="148">
        <f>'Market Housing NOI'!N15</f>
        <v>-9191832.0305000003</v>
      </c>
      <c r="N14" s="148">
        <v>0</v>
      </c>
    </row>
    <row r="15" spans="2:14">
      <c r="B15" s="147" t="s">
        <v>561</v>
      </c>
      <c r="C15" s="147"/>
      <c r="D15" s="148">
        <v>0</v>
      </c>
      <c r="E15" s="148">
        <f>'[1]res, affordable'!F19</f>
        <v>0</v>
      </c>
      <c r="F15" s="148">
        <f>'[1]res, affordable'!G19</f>
        <v>0</v>
      </c>
      <c r="G15" s="148">
        <f>'Affordable Housing NOI'!H15</f>
        <v>-1737044.8680000002</v>
      </c>
      <c r="H15" s="435">
        <f>'Affordable Housing NOI'!I15</f>
        <v>-1737044.8680000002</v>
      </c>
      <c r="I15" s="156">
        <f>'Affordable Housing NOI'!J15</f>
        <v>-1737044.8680000002</v>
      </c>
      <c r="J15" s="438">
        <f>'Affordable Housing NOI'!K15</f>
        <v>-1090497.96</v>
      </c>
      <c r="K15" s="148">
        <f>'Affordable Housing NOI'!L15</f>
        <v>-1090497.96</v>
      </c>
      <c r="L15" s="148">
        <f>'Affordable Housing NOI'!M15</f>
        <v>-1090497.96</v>
      </c>
      <c r="M15" s="148">
        <f>'Affordable Housing NOI'!N15</f>
        <v>-1090497.96</v>
      </c>
      <c r="N15" s="148">
        <v>0</v>
      </c>
    </row>
    <row r="16" spans="2:14">
      <c r="B16" s="147" t="s">
        <v>562</v>
      </c>
      <c r="C16" s="147"/>
      <c r="D16" s="148">
        <f>'Office NOI'!E15</f>
        <v>-1063298.0427140002</v>
      </c>
      <c r="E16" s="148">
        <f>'Office NOI'!F15</f>
        <v>-13813935.381679999</v>
      </c>
      <c r="F16" s="148">
        <f>'Office NOI'!G15</f>
        <v>-13967032.864946</v>
      </c>
      <c r="G16" s="148">
        <f>'Office NOI'!H15</f>
        <v>-13967032.864946</v>
      </c>
      <c r="H16" s="435">
        <f>'Office NOI'!I15</f>
        <v>-13967032.864946</v>
      </c>
      <c r="I16" s="156">
        <f>'Office NOI'!J15</f>
        <v>-13967032.864946</v>
      </c>
      <c r="J16" s="438">
        <f>'Office NOI'!K15</f>
        <v>-13967032.864946</v>
      </c>
      <c r="K16" s="148">
        <f>'Office NOI'!L15</f>
        <v>-13967032.864946</v>
      </c>
      <c r="L16" s="148">
        <f>'Office NOI'!M15</f>
        <v>-13967032.864946</v>
      </c>
      <c r="M16" s="148">
        <f>'Office NOI'!N15</f>
        <v>-14276443.062223999</v>
      </c>
      <c r="N16" s="148">
        <v>0</v>
      </c>
    </row>
    <row r="17" spans="2:14">
      <c r="B17" s="149" t="s">
        <v>14</v>
      </c>
      <c r="C17" s="149"/>
      <c r="D17" s="148">
        <f>'Retail NOI'!E15</f>
        <v>-498527.51236000005</v>
      </c>
      <c r="E17" s="148">
        <f>'Retail NOI'!F15</f>
        <v>-531195.12979000004</v>
      </c>
      <c r="F17" s="148">
        <f>'Retail NOI'!G15</f>
        <v>-583786.50982000004</v>
      </c>
      <c r="G17" s="148">
        <f>'Retail NOI'!H15</f>
        <v>-642055.63696000003</v>
      </c>
      <c r="H17" s="435">
        <f>'Retail NOI'!I15</f>
        <v>-707336.59795000008</v>
      </c>
      <c r="I17" s="156">
        <f>'Retail NOI'!J15</f>
        <v>-752100.28531000006</v>
      </c>
      <c r="J17" s="438">
        <f>'Retail NOI'!K15</f>
        <v>-752100.28531000006</v>
      </c>
      <c r="K17" s="148">
        <f>'Retail NOI'!L15</f>
        <v>-752100.28531000006</v>
      </c>
      <c r="L17" s="148">
        <f>'Retail NOI'!M15</f>
        <v>-793675.82050000003</v>
      </c>
      <c r="M17" s="148">
        <f>'Retail NOI'!N15</f>
        <v>-835251.35569</v>
      </c>
      <c r="N17" s="148">
        <v>0</v>
      </c>
    </row>
    <row r="18" spans="2:14">
      <c r="B18" s="147" t="s">
        <v>563</v>
      </c>
      <c r="C18" s="147"/>
      <c r="D18" s="148">
        <v>0</v>
      </c>
      <c r="E18" s="148">
        <v>0</v>
      </c>
      <c r="F18" s="148">
        <v>0</v>
      </c>
      <c r="G18" s="148">
        <v>0</v>
      </c>
      <c r="H18" s="435">
        <v>0</v>
      </c>
      <c r="I18" s="156">
        <v>0</v>
      </c>
      <c r="J18" s="438">
        <v>0</v>
      </c>
      <c r="K18" s="148">
        <v>0</v>
      </c>
      <c r="L18" s="148">
        <f>'Hotel NOI'!M15</f>
        <v>-5525331.2127200002</v>
      </c>
      <c r="M18" s="148">
        <f>'Hotel NOI'!N15</f>
        <v>-5525331.2127200002</v>
      </c>
      <c r="N18" s="148">
        <v>0</v>
      </c>
    </row>
    <row r="19" spans="2:14">
      <c r="B19" s="147" t="s">
        <v>19</v>
      </c>
      <c r="C19" s="147"/>
      <c r="D19" s="148">
        <f>'Parking NOI'!E15</f>
        <v>-1482711.6875000002</v>
      </c>
      <c r="E19" s="148">
        <f>'Parking NOI'!F15</f>
        <v>-1539310.7275</v>
      </c>
      <c r="F19" s="148">
        <f>'Parking NOI'!G15</f>
        <v>-1613780.4875</v>
      </c>
      <c r="G19" s="148">
        <f>'Parking NOI'!H15</f>
        <v>-1667225.2875000001</v>
      </c>
      <c r="H19" s="435">
        <f>'Parking NOI'!I15</f>
        <v>-1701362.5675000001</v>
      </c>
      <c r="I19" s="156">
        <f>'Parking NOI'!J15</f>
        <v>-1732959.6875000002</v>
      </c>
      <c r="J19" s="438">
        <f>'Parking NOI'!K15</f>
        <v>-1754616.0075000001</v>
      </c>
      <c r="K19" s="148">
        <f>'Parking NOI'!L15</f>
        <v>-1754616.0075000001</v>
      </c>
      <c r="L19" s="148">
        <f>'Parking NOI'!M15</f>
        <v>-1813958.4075000002</v>
      </c>
      <c r="M19" s="148">
        <f>'Parking NOI'!N15</f>
        <v>-1894572.1675000002</v>
      </c>
      <c r="N19" s="148">
        <v>0</v>
      </c>
    </row>
    <row r="20" spans="2:14">
      <c r="B20" s="150" t="s">
        <v>566</v>
      </c>
      <c r="C20" s="147"/>
      <c r="D20" s="148">
        <f t="shared" ref="D20:G20" si="2">SUM(D14:D19)</f>
        <v>-11849473.309774</v>
      </c>
      <c r="E20" s="148">
        <f t="shared" si="2"/>
        <v>-24772194.668069996</v>
      </c>
      <c r="F20" s="148">
        <f t="shared" si="2"/>
        <v>-25115586.922666002</v>
      </c>
      <c r="G20" s="148">
        <f t="shared" si="2"/>
        <v>-26964345.717806004</v>
      </c>
      <c r="H20" s="435">
        <f t="shared" ref="H20" si="3">SUM(H14:H19)</f>
        <v>-27089896.560396001</v>
      </c>
      <c r="I20" s="156">
        <f t="shared" ref="I20" si="4">SUM(I14:I19)</f>
        <v>-27273810.680056002</v>
      </c>
      <c r="J20" s="438">
        <f t="shared" ref="J20" si="5">SUM(J14:J19)</f>
        <v>-26716363.948256001</v>
      </c>
      <c r="K20" s="148">
        <f t="shared" ref="K20" si="6">SUM(K14:K19)</f>
        <v>-26716363.948256001</v>
      </c>
      <c r="L20" s="148">
        <f t="shared" ref="L20" si="7">SUM(L14:L19)</f>
        <v>-32342613.096166</v>
      </c>
      <c r="M20" s="148">
        <f t="shared" ref="M20" si="8">SUM(M14:M19)</f>
        <v>-32813927.788633995</v>
      </c>
      <c r="N20" s="148">
        <v>0</v>
      </c>
    </row>
    <row r="21" spans="2:14">
      <c r="H21" s="442"/>
      <c r="J21" s="441"/>
      <c r="N21" s="148"/>
    </row>
    <row r="22" spans="2:14">
      <c r="B22" s="407" t="s">
        <v>567</v>
      </c>
      <c r="C22" s="132"/>
      <c r="D22" s="148"/>
      <c r="E22" s="132"/>
      <c r="F22" s="132"/>
      <c r="G22" s="132"/>
      <c r="H22" s="436"/>
      <c r="I22" s="132"/>
      <c r="J22" s="439"/>
      <c r="K22" s="132"/>
      <c r="L22" s="132"/>
      <c r="M22" s="132"/>
      <c r="N22" s="132"/>
    </row>
    <row r="23" spans="2:14">
      <c r="B23" s="132" t="s">
        <v>568</v>
      </c>
      <c r="C23" s="132"/>
      <c r="D23" s="148">
        <f>Cost!$E$14/12</f>
        <v>3598486.6999999997</v>
      </c>
      <c r="E23" s="148">
        <f>Cost!$E$14/12</f>
        <v>3598486.6999999997</v>
      </c>
      <c r="F23" s="148">
        <f>Cost!$E$14/12</f>
        <v>3598486.6999999997</v>
      </c>
      <c r="G23" s="148">
        <f>Cost!$E$14/12</f>
        <v>3598486.6999999997</v>
      </c>
      <c r="H23" s="435">
        <f>Cost!$E$14/12</f>
        <v>3598486.6999999997</v>
      </c>
      <c r="I23" s="156">
        <f>Cost!$E$14/12</f>
        <v>3598486.6999999997</v>
      </c>
      <c r="J23" s="438">
        <f>Cost!$E$14/12</f>
        <v>3598486.6999999997</v>
      </c>
      <c r="K23" s="148">
        <f>Cost!$E$14/12</f>
        <v>3598486.6999999997</v>
      </c>
      <c r="L23" s="148">
        <f>Cost!$E$14/12</f>
        <v>3598486.6999999997</v>
      </c>
      <c r="M23" s="148">
        <f>Cost!$E$14/12</f>
        <v>3598486.6999999997</v>
      </c>
      <c r="N23" s="132"/>
    </row>
    <row r="24" spans="2:14">
      <c r="B24" s="132" t="s">
        <v>144</v>
      </c>
      <c r="C24" s="132"/>
      <c r="D24" s="148">
        <f>Cost!$E$28/12</f>
        <v>47442.682066666661</v>
      </c>
      <c r="E24" s="148">
        <f>Cost!$E$28/12</f>
        <v>47442.682066666661</v>
      </c>
      <c r="F24" s="148">
        <f>Cost!$E$28/12</f>
        <v>47442.682066666661</v>
      </c>
      <c r="G24" s="148">
        <f>Cost!$E$28/12</f>
        <v>47442.682066666661</v>
      </c>
      <c r="H24" s="435">
        <f>Cost!$E$28/12</f>
        <v>47442.682066666661</v>
      </c>
      <c r="I24" s="156">
        <f>Cost!$E$28/12</f>
        <v>47442.682066666661</v>
      </c>
      <c r="J24" s="438">
        <f>Cost!$E$28/12</f>
        <v>47442.682066666661</v>
      </c>
      <c r="K24" s="148">
        <f>Cost!$E$28/12</f>
        <v>47442.682066666661</v>
      </c>
      <c r="L24" s="148">
        <f>Cost!$E$28/12</f>
        <v>47442.682066666661</v>
      </c>
      <c r="M24" s="148">
        <f>Cost!$E$28/12</f>
        <v>47442.682066666661</v>
      </c>
      <c r="N24" s="148">
        <v>0</v>
      </c>
    </row>
    <row r="25" spans="2:14">
      <c r="B25" s="132" t="s">
        <v>569</v>
      </c>
      <c r="C25" s="132"/>
      <c r="D25" s="148">
        <f>Cost!$E$26</f>
        <v>1000000</v>
      </c>
      <c r="E25" s="148">
        <v>0</v>
      </c>
      <c r="F25" s="148">
        <v>0</v>
      </c>
      <c r="G25" s="148">
        <v>0</v>
      </c>
      <c r="H25" s="435">
        <v>0</v>
      </c>
      <c r="I25" s="156">
        <v>0</v>
      </c>
      <c r="J25" s="438">
        <v>0</v>
      </c>
      <c r="K25" s="148">
        <v>0</v>
      </c>
      <c r="L25" s="148">
        <v>0</v>
      </c>
      <c r="M25" s="148">
        <v>0</v>
      </c>
      <c r="N25" s="148">
        <v>0</v>
      </c>
    </row>
    <row r="26" spans="2:14">
      <c r="B26" s="132" t="s">
        <v>570</v>
      </c>
      <c r="C26" s="132"/>
      <c r="D26" s="432">
        <f>1%*D20</f>
        <v>-118494.73309774</v>
      </c>
      <c r="E26" s="432">
        <f t="shared" ref="E26:N26" si="9">1%*E20</f>
        <v>-247721.94668069997</v>
      </c>
      <c r="F26" s="432">
        <f t="shared" si="9"/>
        <v>-251155.86922666003</v>
      </c>
      <c r="G26" s="432">
        <f t="shared" si="9"/>
        <v>-269643.45717806002</v>
      </c>
      <c r="H26" s="437">
        <f t="shared" si="9"/>
        <v>-270898.96560396004</v>
      </c>
      <c r="I26" s="432">
        <f t="shared" si="9"/>
        <v>-272738.10680056002</v>
      </c>
      <c r="J26" s="440">
        <f t="shared" si="9"/>
        <v>-267163.63948255999</v>
      </c>
      <c r="K26" s="432">
        <f t="shared" si="9"/>
        <v>-267163.63948255999</v>
      </c>
      <c r="L26" s="432">
        <f t="shared" si="9"/>
        <v>-323426.13096166</v>
      </c>
      <c r="M26" s="432">
        <f t="shared" si="9"/>
        <v>-328139.27788633993</v>
      </c>
      <c r="N26" s="432">
        <f t="shared" si="9"/>
        <v>0</v>
      </c>
    </row>
    <row r="27" spans="2:14">
      <c r="B27" s="147" t="s">
        <v>573</v>
      </c>
      <c r="C27" s="147"/>
      <c r="D27" s="148">
        <f>D11*10.25%</f>
        <v>594217.57236366475</v>
      </c>
      <c r="E27" s="148">
        <f>E11*10.25%</f>
        <v>37906.35350032524</v>
      </c>
      <c r="F27" s="148">
        <f>F11*10.25%</f>
        <v>587316.7744912348</v>
      </c>
      <c r="G27" s="148">
        <f>G11*10.25%</f>
        <v>736766.58939780551</v>
      </c>
      <c r="H27" s="435">
        <f>H11*10.25%</f>
        <v>944002.49266449909</v>
      </c>
      <c r="I27" s="156">
        <f>I11*10.25%</f>
        <v>1227902.4831008108</v>
      </c>
      <c r="J27" s="438">
        <f>J11*10.25%</f>
        <v>1371744.0304679018</v>
      </c>
      <c r="K27" s="148">
        <f>K11*10.25%</f>
        <v>1370441.4091510447</v>
      </c>
      <c r="L27" s="148">
        <f>L11*10.25%</f>
        <v>1576788.1974895753</v>
      </c>
      <c r="M27" s="148">
        <f>M11*10.25%</f>
        <v>2305793.748264547</v>
      </c>
      <c r="N27" s="132"/>
    </row>
    <row r="28" spans="2:14">
      <c r="B28" s="147" t="s">
        <v>574</v>
      </c>
      <c r="C28" s="132"/>
      <c r="D28" s="148">
        <f>D11*8%</f>
        <v>463779.56867407984</v>
      </c>
      <c r="E28" s="148">
        <f t="shared" ref="E28:M28" si="10">E11*8%</f>
        <v>29585.446634400188</v>
      </c>
      <c r="F28" s="148">
        <f t="shared" si="10"/>
        <v>458393.58009071986</v>
      </c>
      <c r="G28" s="148">
        <f t="shared" si="10"/>
        <v>575037.33806657989</v>
      </c>
      <c r="H28" s="435">
        <f t="shared" si="10"/>
        <v>736782.43329912133</v>
      </c>
      <c r="I28" s="156">
        <f t="shared" si="10"/>
        <v>958362.9136396572</v>
      </c>
      <c r="J28" s="438">
        <f t="shared" si="10"/>
        <v>1070629.4871944601</v>
      </c>
      <c r="K28" s="148">
        <f t="shared" si="10"/>
        <v>1069612.8071422789</v>
      </c>
      <c r="L28" s="148">
        <f t="shared" si="10"/>
        <v>1230663.9590162539</v>
      </c>
      <c r="M28" s="148">
        <f t="shared" si="10"/>
        <v>1799643.9010845248</v>
      </c>
      <c r="N28" s="132"/>
    </row>
    <row r="29" spans="2:14">
      <c r="B29" s="132" t="s">
        <v>575</v>
      </c>
      <c r="C29" s="132"/>
      <c r="D29" s="148">
        <f>D28*(1-Assumptions!D24)-D20</f>
        <v>12265715.472658986</v>
      </c>
      <c r="E29" s="148">
        <f>E28*(1-Assumptions!E24)-E20</f>
        <v>24801780.114704397</v>
      </c>
      <c r="F29" s="148">
        <f>F28*(1-Assumptions!F24)-F20</f>
        <v>25573980.502756722</v>
      </c>
      <c r="G29" s="148">
        <f>G28*(1-Assumptions!G24)-G20</f>
        <v>27539383.055872586</v>
      </c>
      <c r="H29" s="435">
        <f>H28*(1-Assumptions!H24)-H20</f>
        <v>27826678.993695121</v>
      </c>
      <c r="I29" s="156">
        <f>I28*(1-Assumptions!I24)-I20</f>
        <v>28232173.593695659</v>
      </c>
      <c r="J29" s="438">
        <f>J28*(1-Assumptions!J24)-J20</f>
        <v>27786993.435450461</v>
      </c>
      <c r="K29" s="148">
        <f>K28*(1-Assumptions!K24)-K20</f>
        <v>27785976.755398281</v>
      </c>
      <c r="L29" s="148">
        <f>L28*(1-Assumptions!L24)-L20</f>
        <v>33573277.055182256</v>
      </c>
      <c r="M29" s="148">
        <f>M28*(1-Assumptions!M24)-M20</f>
        <v>34613571.689718522</v>
      </c>
      <c r="N29" s="132"/>
    </row>
    <row r="30" spans="2:14">
      <c r="B30" s="427"/>
      <c r="C30" s="132"/>
      <c r="D30" s="148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2:14">
      <c r="B31" s="427"/>
      <c r="C31" s="132"/>
      <c r="D31" s="148"/>
      <c r="E31" s="132"/>
      <c r="F31" s="132"/>
      <c r="G31" s="132"/>
      <c r="H31" s="132" cm="1">
        <f t="array" ref="H31:J31">SUM(H29:J29)/H11:J11</f>
        <v>9.1040005552142418</v>
      </c>
      <c r="I31" s="132">
        <v>6.9990893703858106</v>
      </c>
      <c r="J31" s="132">
        <v>6.2651624694220436</v>
      </c>
      <c r="K31" s="132"/>
      <c r="L31" s="132"/>
      <c r="M31" s="132"/>
      <c r="N31" s="132"/>
    </row>
    <row r="32" spans="2:14">
      <c r="B32" s="145"/>
      <c r="C32" s="146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</row>
    <row r="33" spans="2:14">
      <c r="B33" s="145"/>
      <c r="C33" s="146"/>
      <c r="D33" s="148"/>
      <c r="E33" s="148"/>
      <c r="F33" s="148"/>
      <c r="G33" s="148"/>
      <c r="H33" s="148" cm="1">
        <f t="array" ref="H33:J33">SUM(H29:J29)/H11:J11</f>
        <v>9.1040005552142418</v>
      </c>
      <c r="I33" s="148">
        <v>6.9990893703858106</v>
      </c>
      <c r="J33" s="148">
        <v>6.2651624694220436</v>
      </c>
      <c r="K33" s="148"/>
      <c r="L33" s="148"/>
      <c r="M33" s="148"/>
      <c r="N33" s="148"/>
    </row>
    <row r="34" spans="2:14">
      <c r="B34" s="145"/>
      <c r="C34" s="151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</row>
    <row r="35" spans="2:14">
      <c r="B35" s="146"/>
      <c r="C35" s="146"/>
      <c r="D35" s="146"/>
      <c r="E35" s="146"/>
      <c r="F35" s="146"/>
      <c r="G35" s="146"/>
      <c r="H35" s="146">
        <f>AVERAGE(H31,I31,J31)</f>
        <v>7.4560841316740323</v>
      </c>
      <c r="I35" s="146"/>
      <c r="J35" s="146"/>
      <c r="K35" s="146"/>
      <c r="L35" s="146"/>
      <c r="M35" s="146"/>
      <c r="N35" s="146"/>
    </row>
    <row r="36" spans="2:14">
      <c r="B36" s="145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</row>
    <row r="37" spans="2:14">
      <c r="B37" s="146"/>
      <c r="C37" s="146"/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6"/>
    </row>
    <row r="38" spans="2:14">
      <c r="B38" s="146"/>
      <c r="C38" s="146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</row>
    <row r="39" spans="2:14">
      <c r="B39" s="146"/>
      <c r="C39" s="146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</row>
    <row r="40" spans="2:14">
      <c r="B40" s="153"/>
      <c r="C40" s="154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</row>
    <row r="41" spans="2:14">
      <c r="B41" s="154"/>
      <c r="C41" s="146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</row>
    <row r="42" spans="2:14">
      <c r="B42" s="154"/>
      <c r="C42" s="146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</row>
    <row r="43" spans="2:14">
      <c r="B43" s="154"/>
      <c r="C43" s="154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</row>
    <row r="44" spans="2:14">
      <c r="B44" s="154"/>
      <c r="C44" s="154"/>
      <c r="D44" s="148"/>
      <c r="E44" s="148"/>
      <c r="F44" s="148"/>
      <c r="G44" s="155"/>
      <c r="H44" s="148"/>
      <c r="I44" s="148"/>
      <c r="J44" s="148"/>
      <c r="K44" s="148"/>
      <c r="L44" s="148"/>
      <c r="M44" s="148"/>
      <c r="N44" s="148"/>
    </row>
    <row r="45" spans="2:14"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</row>
    <row r="46" spans="2:14">
      <c r="B46" s="153"/>
      <c r="C46" s="154"/>
      <c r="D46" s="148"/>
      <c r="E46" s="148"/>
      <c r="F46" s="148"/>
      <c r="G46" s="148"/>
      <c r="H46" s="148"/>
      <c r="I46" s="148"/>
      <c r="J46" s="148"/>
      <c r="K46" s="148"/>
      <c r="L46" s="148"/>
      <c r="M46" s="148"/>
      <c r="N46" s="148"/>
    </row>
    <row r="47" spans="2:14">
      <c r="B47" s="154"/>
      <c r="C47" s="154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</row>
    <row r="48" spans="2:14">
      <c r="B48" s="154"/>
      <c r="C48" s="154"/>
      <c r="D48" s="148"/>
      <c r="E48" s="148"/>
      <c r="F48" s="148"/>
      <c r="G48" s="148"/>
      <c r="H48" s="148"/>
      <c r="I48" s="148"/>
      <c r="J48" s="148"/>
      <c r="K48" s="148"/>
      <c r="L48" s="148"/>
      <c r="M48" s="148"/>
      <c r="N48" s="148"/>
    </row>
    <row r="49" spans="2:14">
      <c r="B49" s="154"/>
      <c r="C49" s="154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</row>
    <row r="50" spans="2:14">
      <c r="B50" s="154"/>
      <c r="C50" s="154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3FE1B-3204-784F-909A-DF6F1A99169A}">
  <sheetPr>
    <tabColor theme="6" tint="0.79998168889431442"/>
  </sheetPr>
  <dimension ref="B2:AD76"/>
  <sheetViews>
    <sheetView zoomScale="106" zoomScaleNormal="90" workbookViewId="0">
      <selection activeCell="P12" sqref="P12"/>
    </sheetView>
  </sheetViews>
  <sheetFormatPr defaultColWidth="10.6640625" defaultRowHeight="15"/>
  <cols>
    <col min="1" max="1" width="3" style="134" customWidth="1"/>
    <col min="2" max="2" width="8.1640625" style="134" customWidth="1"/>
    <col min="3" max="3" width="27" style="134" customWidth="1"/>
    <col min="4" max="4" width="11.83203125" style="134" bestFit="1" customWidth="1"/>
    <col min="5" max="12" width="10.6640625" style="134"/>
    <col min="13" max="13" width="11.83203125" style="134" customWidth="1"/>
    <col min="14" max="14" width="10.6640625" style="134"/>
    <col min="15" max="15" width="15" style="134" customWidth="1"/>
    <col min="16" max="16" width="13.1640625" style="186" customWidth="1"/>
    <col min="17" max="17" width="4.6640625" style="186" customWidth="1"/>
    <col min="18" max="18" width="25.6640625" style="134" customWidth="1"/>
    <col min="19" max="19" width="13" style="134" bestFit="1" customWidth="1"/>
    <col min="20" max="27" width="10.6640625" style="134"/>
    <col min="28" max="28" width="13" style="134" bestFit="1" customWidth="1"/>
    <col min="29" max="16384" width="10.6640625" style="134"/>
  </cols>
  <sheetData>
    <row r="2" spans="2:28" ht="15.95" thickBot="1"/>
    <row r="3" spans="2:28" ht="15.95" thickBot="1">
      <c r="D3" s="759" t="s">
        <v>168</v>
      </c>
      <c r="E3" s="760"/>
      <c r="F3" s="760"/>
      <c r="G3" s="760"/>
      <c r="H3" s="760"/>
      <c r="I3" s="760"/>
      <c r="J3" s="760"/>
      <c r="K3" s="760"/>
      <c r="L3" s="760"/>
      <c r="M3" s="760"/>
      <c r="N3" s="760"/>
      <c r="O3" s="761"/>
      <c r="P3" s="218"/>
      <c r="Q3" s="218"/>
      <c r="S3" s="665" t="s">
        <v>169</v>
      </c>
      <c r="T3" s="666"/>
      <c r="U3" s="666"/>
      <c r="V3" s="666"/>
      <c r="W3" s="666"/>
      <c r="X3" s="667"/>
    </row>
    <row r="4" spans="2:28" ht="15.95" thickBot="1">
      <c r="D4" s="135" t="s">
        <v>170</v>
      </c>
      <c r="E4" s="751" t="s">
        <v>171</v>
      </c>
      <c r="F4" s="751"/>
      <c r="G4" s="751"/>
      <c r="H4" s="751"/>
      <c r="I4" s="752" t="s">
        <v>172</v>
      </c>
      <c r="J4" s="752"/>
      <c r="K4" s="752"/>
      <c r="L4" s="753" t="s">
        <v>173</v>
      </c>
      <c r="M4" s="754"/>
      <c r="N4" s="755"/>
      <c r="O4" s="136" t="s">
        <v>174</v>
      </c>
      <c r="S4" s="179"/>
      <c r="T4" s="178"/>
      <c r="U4" s="178"/>
      <c r="V4" s="178"/>
      <c r="W4" s="178"/>
      <c r="X4" s="178"/>
      <c r="Y4" s="178"/>
      <c r="Z4" s="178"/>
      <c r="AA4" s="177"/>
    </row>
    <row r="5" spans="2:28" ht="15.95" thickBot="1">
      <c r="B5" s="226"/>
      <c r="C5" s="226"/>
      <c r="D5" s="276" t="s">
        <v>175</v>
      </c>
      <c r="E5" s="275">
        <v>2024</v>
      </c>
      <c r="F5" s="275">
        <v>2025</v>
      </c>
      <c r="G5" s="275">
        <v>2026</v>
      </c>
      <c r="H5" s="275">
        <v>2027</v>
      </c>
      <c r="I5" s="274">
        <v>2028</v>
      </c>
      <c r="J5" s="273">
        <v>2029</v>
      </c>
      <c r="K5" s="273">
        <v>2030</v>
      </c>
      <c r="L5" s="272">
        <v>2031</v>
      </c>
      <c r="M5" s="272">
        <v>2032</v>
      </c>
      <c r="N5" s="272">
        <v>2033</v>
      </c>
      <c r="O5" s="271" t="s">
        <v>176</v>
      </c>
      <c r="P5" s="270" t="s">
        <v>177</v>
      </c>
      <c r="Q5" s="212"/>
      <c r="S5" s="175">
        <f>SUM(D6:O6)</f>
        <v>1154025</v>
      </c>
      <c r="T5" s="173" t="s">
        <v>178</v>
      </c>
      <c r="U5" s="173"/>
      <c r="V5" s="173"/>
      <c r="W5" s="173"/>
      <c r="X5" s="173"/>
      <c r="Y5" s="173"/>
      <c r="Z5" s="173"/>
      <c r="AA5" s="172"/>
    </row>
    <row r="6" spans="2:28" ht="15.95" thickBot="1">
      <c r="B6" s="269"/>
      <c r="C6" s="268" t="s">
        <v>179</v>
      </c>
      <c r="D6" s="267">
        <v>0</v>
      </c>
      <c r="E6" s="240">
        <v>218816</v>
      </c>
      <c r="F6" s="240">
        <v>200187</v>
      </c>
      <c r="G6" s="240">
        <v>152849</v>
      </c>
      <c r="H6" s="250">
        <v>0</v>
      </c>
      <c r="I6" s="249">
        <v>63168</v>
      </c>
      <c r="J6" s="239">
        <f>76704+183275</f>
        <v>259979</v>
      </c>
      <c r="K6" s="239">
        <v>163026</v>
      </c>
      <c r="L6" s="238">
        <v>0</v>
      </c>
      <c r="M6" s="237">
        <v>0</v>
      </c>
      <c r="N6" s="238">
        <v>96000</v>
      </c>
      <c r="O6" s="259">
        <v>0</v>
      </c>
      <c r="P6" s="234">
        <f>SUM(D6:O6)</f>
        <v>1154025</v>
      </c>
      <c r="Q6" s="219" t="s">
        <v>180</v>
      </c>
      <c r="R6" s="134" t="str">
        <f>C6</f>
        <v>Market-Rate Rental Housing</v>
      </c>
      <c r="S6" s="175">
        <f>SUM(D7:O7)</f>
        <v>312568</v>
      </c>
      <c r="T6" s="173" t="s">
        <v>181</v>
      </c>
      <c r="U6" s="173"/>
      <c r="V6" s="173"/>
      <c r="W6" s="173"/>
      <c r="X6" s="173"/>
      <c r="Y6" s="173"/>
      <c r="Z6" s="173"/>
      <c r="AA6" s="172"/>
    </row>
    <row r="7" spans="2:28" ht="15.95" thickBot="1">
      <c r="B7" s="266"/>
      <c r="C7" s="220" t="s">
        <v>182</v>
      </c>
      <c r="D7" s="225">
        <v>0</v>
      </c>
      <c r="E7" s="240">
        <v>0</v>
      </c>
      <c r="F7" s="240">
        <v>0</v>
      </c>
      <c r="G7" s="240">
        <v>0</v>
      </c>
      <c r="H7" s="240">
        <v>312568</v>
      </c>
      <c r="I7" s="239">
        <v>0</v>
      </c>
      <c r="J7" s="239">
        <v>0</v>
      </c>
      <c r="K7" s="239">
        <v>0</v>
      </c>
      <c r="L7" s="238">
        <v>0</v>
      </c>
      <c r="M7" s="237">
        <v>0</v>
      </c>
      <c r="N7" s="238">
        <v>0</v>
      </c>
      <c r="O7" s="259">
        <v>0</v>
      </c>
      <c r="P7" s="234">
        <f>SUM(D7:O7)</f>
        <v>312568</v>
      </c>
      <c r="Q7" s="219" t="s">
        <v>180</v>
      </c>
      <c r="R7" s="134" t="str">
        <f>C7</f>
        <v>Affordable Rental Housing</v>
      </c>
      <c r="S7" s="164">
        <f>S6/((S5+S6)/100)</f>
        <v>21.312525015461002</v>
      </c>
      <c r="T7" s="173" t="s">
        <v>183</v>
      </c>
      <c r="U7" s="173"/>
      <c r="V7" s="173"/>
      <c r="W7" s="173"/>
      <c r="X7" s="173"/>
      <c r="Y7" s="173"/>
      <c r="Z7" s="173"/>
      <c r="AA7" s="172"/>
      <c r="AB7" s="142"/>
    </row>
    <row r="8" spans="2:28">
      <c r="B8" s="258"/>
      <c r="C8" s="220" t="s">
        <v>184</v>
      </c>
      <c r="D8" s="225">
        <v>0</v>
      </c>
      <c r="E8" s="240">
        <v>68071</v>
      </c>
      <c r="F8" s="240">
        <v>84449</v>
      </c>
      <c r="G8" s="240">
        <v>100899</v>
      </c>
      <c r="H8" s="240">
        <v>0</v>
      </c>
      <c r="I8" s="239">
        <v>0</v>
      </c>
      <c r="J8" s="239">
        <v>0</v>
      </c>
      <c r="K8" s="239">
        <v>0</v>
      </c>
      <c r="L8" s="238">
        <v>0</v>
      </c>
      <c r="M8" s="237">
        <v>0</v>
      </c>
      <c r="N8" s="238">
        <v>203917</v>
      </c>
      <c r="O8" s="259">
        <v>0</v>
      </c>
      <c r="P8" s="234">
        <f>SUM(D8:O8)</f>
        <v>457336</v>
      </c>
      <c r="Q8" s="219" t="s">
        <v>180</v>
      </c>
      <c r="R8" s="134" t="str">
        <f>C8</f>
        <v>Office/Commercial</v>
      </c>
      <c r="S8" s="174"/>
      <c r="T8" s="173"/>
      <c r="U8" s="173"/>
      <c r="V8" s="173"/>
      <c r="W8" s="173"/>
      <c r="X8" s="173"/>
      <c r="Y8" s="173"/>
      <c r="Z8" s="173"/>
      <c r="AA8" s="172"/>
    </row>
    <row r="9" spans="2:28" ht="15.95" thickBot="1">
      <c r="B9" s="258"/>
      <c r="C9" s="220" t="s">
        <v>14</v>
      </c>
      <c r="D9" s="225">
        <v>0</v>
      </c>
      <c r="E9" s="240">
        <v>14068</v>
      </c>
      <c r="F9" s="240">
        <v>18659</v>
      </c>
      <c r="G9" s="240">
        <v>30039</v>
      </c>
      <c r="H9" s="240">
        <v>33282</v>
      </c>
      <c r="I9" s="239">
        <v>37287</v>
      </c>
      <c r="J9" s="239">
        <f>25568</f>
        <v>25568</v>
      </c>
      <c r="K9" s="239">
        <v>0</v>
      </c>
      <c r="L9" s="238">
        <v>0</v>
      </c>
      <c r="M9" s="238">
        <v>23747</v>
      </c>
      <c r="N9" s="238">
        <v>23747</v>
      </c>
      <c r="O9" s="259">
        <v>0</v>
      </c>
      <c r="P9" s="234">
        <f>SUM(D9:O9)</f>
        <v>206397</v>
      </c>
      <c r="Q9" s="219" t="s">
        <v>180</v>
      </c>
      <c r="R9" s="134" t="str">
        <f>C9</f>
        <v>Retail</v>
      </c>
      <c r="S9" s="174"/>
      <c r="T9" s="173"/>
      <c r="U9" s="173"/>
      <c r="V9" s="173"/>
      <c r="W9" s="173"/>
      <c r="X9" s="173"/>
      <c r="Y9" s="173"/>
      <c r="Z9" s="173"/>
      <c r="AA9" s="172"/>
    </row>
    <row r="10" spans="2:28" ht="15.95" thickBot="1">
      <c r="B10" s="220"/>
      <c r="C10" s="220" t="s">
        <v>185</v>
      </c>
      <c r="D10" s="225"/>
      <c r="E10" s="240">
        <v>55047</v>
      </c>
      <c r="F10" s="240">
        <v>49007</v>
      </c>
      <c r="G10" s="240">
        <v>70470</v>
      </c>
      <c r="H10" s="240">
        <v>63425</v>
      </c>
      <c r="I10" s="239">
        <v>42344</v>
      </c>
      <c r="J10" s="239">
        <f>25568</f>
        <v>25568</v>
      </c>
      <c r="K10" s="239">
        <v>22552</v>
      </c>
      <c r="L10" s="238">
        <v>0</v>
      </c>
      <c r="M10" s="238">
        <v>6747</v>
      </c>
      <c r="N10" s="238">
        <v>63220</v>
      </c>
      <c r="O10" s="259">
        <v>0</v>
      </c>
      <c r="P10" s="234">
        <f>SUM(D10:O10)</f>
        <v>398380</v>
      </c>
      <c r="Q10" s="219" t="s">
        <v>180</v>
      </c>
      <c r="R10" s="134" t="str">
        <f>C10</f>
        <v>Rooftop Spaces</v>
      </c>
      <c r="S10" s="175">
        <f>P68</f>
        <v>6763.1072500000009</v>
      </c>
      <c r="T10" s="173" t="s">
        <v>186</v>
      </c>
      <c r="U10" s="173"/>
      <c r="V10" s="173"/>
      <c r="W10" s="173"/>
      <c r="X10" s="173"/>
      <c r="Y10" s="173"/>
      <c r="Z10" s="173"/>
      <c r="AA10" s="172"/>
      <c r="AB10" s="142"/>
    </row>
    <row r="11" spans="2:28" ht="15.95" thickBot="1">
      <c r="B11" s="258"/>
      <c r="C11" s="220" t="s">
        <v>187</v>
      </c>
      <c r="D11" s="225">
        <v>0</v>
      </c>
      <c r="E11" s="240">
        <v>0</v>
      </c>
      <c r="F11" s="240">
        <v>0</v>
      </c>
      <c r="G11" s="240">
        <v>0</v>
      </c>
      <c r="H11" s="240">
        <v>0</v>
      </c>
      <c r="I11" s="239">
        <v>0</v>
      </c>
      <c r="J11" s="239">
        <v>0</v>
      </c>
      <c r="K11" s="239">
        <v>0</v>
      </c>
      <c r="L11" s="238">
        <v>0</v>
      </c>
      <c r="M11" s="238">
        <v>371657</v>
      </c>
      <c r="N11" s="238">
        <v>0</v>
      </c>
      <c r="O11" s="259">
        <v>0</v>
      </c>
      <c r="P11" s="234">
        <f>SUM(D11:O11)</f>
        <v>371657</v>
      </c>
      <c r="Q11" s="219" t="s">
        <v>180</v>
      </c>
      <c r="R11" s="134" t="str">
        <f>C11</f>
        <v>Hotel</v>
      </c>
      <c r="S11" s="175">
        <f>P69</f>
        <v>-2028.9321750000001</v>
      </c>
      <c r="T11" s="176" t="s">
        <v>188</v>
      </c>
      <c r="U11" s="173"/>
      <c r="V11" s="173"/>
      <c r="W11" s="173"/>
      <c r="X11" s="173"/>
      <c r="Y11" s="173"/>
      <c r="Z11" s="173"/>
      <c r="AA11" s="172"/>
      <c r="AB11" s="142"/>
    </row>
    <row r="12" spans="2:28" ht="15.95" thickBot="1">
      <c r="B12" s="258"/>
      <c r="C12" s="220" t="s">
        <v>189</v>
      </c>
      <c r="D12" s="265">
        <v>183687</v>
      </c>
      <c r="E12" s="240">
        <f>102278+80630</f>
        <v>182908</v>
      </c>
      <c r="F12" s="240">
        <v>127865</v>
      </c>
      <c r="G12" s="240">
        <v>162248</v>
      </c>
      <c r="H12" s="240">
        <v>103590</v>
      </c>
      <c r="I12" s="239">
        <v>0</v>
      </c>
      <c r="J12" s="239">
        <v>64151</v>
      </c>
      <c r="K12" s="239">
        <f>22562*2</f>
        <v>45124</v>
      </c>
      <c r="L12" s="238">
        <v>0</v>
      </c>
      <c r="M12" s="238">
        <v>178698</v>
      </c>
      <c r="N12" s="238">
        <v>178698</v>
      </c>
      <c r="O12" s="259">
        <v>0</v>
      </c>
      <c r="P12" s="234">
        <f>SUM(D12:O12)</f>
        <v>1226969</v>
      </c>
      <c r="Q12" s="219" t="s">
        <v>180</v>
      </c>
      <c r="R12" s="134" t="str">
        <f>C12</f>
        <v>Structured Parking</v>
      </c>
      <c r="S12" s="175">
        <f>-S10*0.2</f>
        <v>-1352.6214500000003</v>
      </c>
      <c r="T12" s="176" t="s">
        <v>190</v>
      </c>
      <c r="U12" s="173"/>
      <c r="V12" s="173"/>
      <c r="W12" s="173"/>
      <c r="X12" s="173"/>
      <c r="Y12" s="173"/>
      <c r="Z12" s="173"/>
      <c r="AA12" s="172"/>
    </row>
    <row r="13" spans="2:28" ht="15.95" thickBot="1">
      <c r="B13" s="220"/>
      <c r="C13" s="220" t="s">
        <v>191</v>
      </c>
      <c r="D13" s="205">
        <f>D12/350</f>
        <v>524.82000000000005</v>
      </c>
      <c r="E13" s="204">
        <f>E12/350</f>
        <v>522.59428571428566</v>
      </c>
      <c r="F13" s="204">
        <f>F12/350</f>
        <v>365.32857142857142</v>
      </c>
      <c r="G13" s="204">
        <f>G12/350</f>
        <v>463.56571428571431</v>
      </c>
      <c r="H13" s="204">
        <f>H12/350</f>
        <v>295.97142857142859</v>
      </c>
      <c r="I13" s="204">
        <f>I12/350</f>
        <v>0</v>
      </c>
      <c r="J13" s="204">
        <f>J12/350</f>
        <v>183.28857142857143</v>
      </c>
      <c r="K13" s="204">
        <f>K12/350</f>
        <v>128.92571428571429</v>
      </c>
      <c r="L13" s="204">
        <f>L12/350</f>
        <v>0</v>
      </c>
      <c r="M13" s="264">
        <f>M12/350</f>
        <v>510.56571428571431</v>
      </c>
      <c r="N13" s="264">
        <f>N12/350</f>
        <v>510.56571428571431</v>
      </c>
      <c r="O13" s="263">
        <f>O12/350</f>
        <v>0</v>
      </c>
      <c r="P13" s="234">
        <f>SUM(D13:O13)</f>
        <v>3505.6257142857139</v>
      </c>
      <c r="Q13" s="219"/>
      <c r="R13" s="134" t="str">
        <f>C13</f>
        <v># parking spots</v>
      </c>
      <c r="S13" s="164">
        <f>P71</f>
        <v>3381.5536250000005</v>
      </c>
      <c r="T13" s="173" t="s">
        <v>192</v>
      </c>
      <c r="U13" s="173"/>
      <c r="V13" s="173"/>
      <c r="W13" s="173"/>
      <c r="X13" s="173"/>
      <c r="Y13" s="173"/>
      <c r="Z13" s="173"/>
      <c r="AA13" s="172"/>
    </row>
    <row r="14" spans="2:28" ht="15.95" thickBot="1">
      <c r="B14" s="258"/>
      <c r="C14" s="220" t="s">
        <v>193</v>
      </c>
      <c r="D14" s="225">
        <v>0</v>
      </c>
      <c r="E14" s="240">
        <v>0</v>
      </c>
      <c r="F14" s="240">
        <v>0</v>
      </c>
      <c r="G14" s="240">
        <v>0</v>
      </c>
      <c r="H14" s="240">
        <v>0</v>
      </c>
      <c r="I14" s="239">
        <v>0</v>
      </c>
      <c r="J14" s="239">
        <v>9022</v>
      </c>
      <c r="K14" s="239">
        <v>0</v>
      </c>
      <c r="L14" s="238">
        <v>0</v>
      </c>
      <c r="M14" s="237">
        <v>0</v>
      </c>
      <c r="N14" s="238">
        <v>10000</v>
      </c>
      <c r="O14" s="259">
        <v>0</v>
      </c>
      <c r="P14" s="234">
        <f>SUM(D14:O14)</f>
        <v>19022</v>
      </c>
      <c r="Q14" s="219" t="s">
        <v>180</v>
      </c>
      <c r="R14" s="134" t="str">
        <f>C14</f>
        <v>Surface Parking</v>
      </c>
      <c r="S14" s="262">
        <f>SUM(D18:O18)</f>
        <v>3743.7885714285712</v>
      </c>
      <c r="T14" s="173" t="s">
        <v>194</v>
      </c>
      <c r="U14" s="173"/>
      <c r="V14" s="173"/>
      <c r="W14" s="173"/>
      <c r="X14" s="173"/>
      <c r="Y14" s="173"/>
      <c r="Z14" s="173"/>
      <c r="AA14" s="172"/>
    </row>
    <row r="15" spans="2:28" ht="15.95" thickBot="1">
      <c r="B15" s="220"/>
      <c r="C15" s="220" t="s">
        <v>191</v>
      </c>
      <c r="D15" s="205">
        <f>D14/350</f>
        <v>0</v>
      </c>
      <c r="E15" s="204">
        <f>E14/350</f>
        <v>0</v>
      </c>
      <c r="F15" s="204">
        <f>F14/350</f>
        <v>0</v>
      </c>
      <c r="G15" s="204">
        <f>G14/350</f>
        <v>0</v>
      </c>
      <c r="H15" s="204">
        <f>H14/350</f>
        <v>0</v>
      </c>
      <c r="I15" s="204">
        <f>I14/350</f>
        <v>0</v>
      </c>
      <c r="J15" s="204">
        <f>J14/350</f>
        <v>25.777142857142856</v>
      </c>
      <c r="K15" s="204">
        <f>K14/350</f>
        <v>0</v>
      </c>
      <c r="L15" s="204">
        <f>L14/350</f>
        <v>0</v>
      </c>
      <c r="M15" s="204">
        <f>M14/350</f>
        <v>0</v>
      </c>
      <c r="N15" s="204">
        <f>N14/350</f>
        <v>28.571428571428573</v>
      </c>
      <c r="O15" s="203">
        <f>O14/350</f>
        <v>0</v>
      </c>
      <c r="P15" s="234">
        <f>SUM(D15:O15)</f>
        <v>54.348571428571432</v>
      </c>
      <c r="Q15" s="219"/>
      <c r="R15" s="134" t="str">
        <f>C15</f>
        <v># parking spots</v>
      </c>
      <c r="S15" s="175">
        <f>((((((P6+P7)/1000)-300)/200)+2))</f>
        <v>7.8329650000000006</v>
      </c>
      <c r="T15" s="173" t="s">
        <v>195</v>
      </c>
      <c r="U15" s="173"/>
      <c r="V15" s="173"/>
      <c r="W15" s="173"/>
      <c r="X15" s="173"/>
      <c r="Y15" s="173"/>
      <c r="Z15" s="173"/>
      <c r="AA15" s="172"/>
    </row>
    <row r="16" spans="2:28" ht="15.95" thickBot="1">
      <c r="B16" s="258"/>
      <c r="C16" s="220" t="s">
        <v>196</v>
      </c>
      <c r="D16" s="225">
        <v>0</v>
      </c>
      <c r="E16" s="240">
        <v>0</v>
      </c>
      <c r="F16" s="240">
        <v>0</v>
      </c>
      <c r="G16" s="240">
        <v>0</v>
      </c>
      <c r="H16" s="240">
        <v>0</v>
      </c>
      <c r="I16" s="239">
        <v>64335</v>
      </c>
      <c r="J16" s="239">
        <v>0</v>
      </c>
      <c r="K16" s="239">
        <v>0</v>
      </c>
      <c r="L16" s="238">
        <v>0</v>
      </c>
      <c r="M16" s="237">
        <v>0</v>
      </c>
      <c r="N16" s="238">
        <v>0</v>
      </c>
      <c r="O16" s="259">
        <v>0</v>
      </c>
      <c r="P16" s="234">
        <f>SUM(D16:O16)</f>
        <v>64335</v>
      </c>
      <c r="Q16" s="219" t="s">
        <v>180</v>
      </c>
      <c r="R16" s="134" t="str">
        <f>C16</f>
        <v>Flex Surface Parking</v>
      </c>
      <c r="S16" s="171"/>
      <c r="T16" s="170"/>
      <c r="U16" s="170"/>
      <c r="V16" s="170"/>
      <c r="W16" s="170"/>
      <c r="X16" s="170"/>
      <c r="Y16" s="170"/>
      <c r="Z16" s="170"/>
      <c r="AA16" s="169"/>
    </row>
    <row r="17" spans="2:28">
      <c r="B17" s="220"/>
      <c r="C17" s="220" t="s">
        <v>191</v>
      </c>
      <c r="D17" s="205">
        <f>D16/350</f>
        <v>0</v>
      </c>
      <c r="E17" s="204">
        <f>E16/350</f>
        <v>0</v>
      </c>
      <c r="F17" s="204">
        <f>F16/350</f>
        <v>0</v>
      </c>
      <c r="G17" s="204">
        <f>G16/350</f>
        <v>0</v>
      </c>
      <c r="H17" s="204">
        <f>H16/350</f>
        <v>0</v>
      </c>
      <c r="I17" s="204">
        <f>I16/350</f>
        <v>183.81428571428572</v>
      </c>
      <c r="J17" s="204">
        <f>J16/350</f>
        <v>0</v>
      </c>
      <c r="K17" s="204">
        <f>K16/350</f>
        <v>0</v>
      </c>
      <c r="L17" s="204">
        <f>L16/350</f>
        <v>0</v>
      </c>
      <c r="M17" s="204">
        <f>M16/350</f>
        <v>0</v>
      </c>
      <c r="N17" s="204">
        <f>N16/350</f>
        <v>0</v>
      </c>
      <c r="O17" s="203">
        <f>O16/350</f>
        <v>0</v>
      </c>
      <c r="P17" s="234">
        <f>SUM(D17:O17)</f>
        <v>183.81428571428572</v>
      </c>
      <c r="Q17" s="219"/>
      <c r="R17" s="134" t="str">
        <f>C17</f>
        <v># parking spots</v>
      </c>
    </row>
    <row r="18" spans="2:28">
      <c r="B18" s="220"/>
      <c r="C18" s="220" t="s">
        <v>198</v>
      </c>
      <c r="D18" s="208">
        <f>SUM(D13+D15+D17)</f>
        <v>524.82000000000005</v>
      </c>
      <c r="E18" s="207">
        <f>SUM(E13+E15+E17)</f>
        <v>522.59428571428566</v>
      </c>
      <c r="F18" s="207">
        <f>SUM(F13+F15+F17)</f>
        <v>365.32857142857142</v>
      </c>
      <c r="G18" s="207">
        <f>SUM(G13+G15+G17)</f>
        <v>463.56571428571431</v>
      </c>
      <c r="H18" s="207">
        <f>SUM(H13+H15+H17)</f>
        <v>295.97142857142859</v>
      </c>
      <c r="I18" s="207">
        <f>SUM(I13+I15+I17)</f>
        <v>183.81428571428572</v>
      </c>
      <c r="J18" s="207">
        <f>SUM(J13+J15+J17)</f>
        <v>209.06571428571428</v>
      </c>
      <c r="K18" s="207">
        <f>SUM(K13+K15+K17)</f>
        <v>128.92571428571429</v>
      </c>
      <c r="L18" s="207">
        <f>SUM(L13+L15+L17)</f>
        <v>0</v>
      </c>
      <c r="M18" s="207">
        <f>SUM(M13+M15+M17)</f>
        <v>510.56571428571431</v>
      </c>
      <c r="N18" s="207">
        <f>SUM(N13+N15+N17)</f>
        <v>539.13714285714286</v>
      </c>
      <c r="O18" s="206">
        <f>SUM(O13+O15+O17)</f>
        <v>0</v>
      </c>
      <c r="P18" s="234">
        <f>SUM(D18:O18)</f>
        <v>3743.7885714285712</v>
      </c>
      <c r="Q18" s="219"/>
      <c r="R18" s="134" t="str">
        <f>C18</f>
        <v># Total Parking Spaces</v>
      </c>
    </row>
    <row r="19" spans="2:28">
      <c r="C19" s="220" t="s">
        <v>102</v>
      </c>
      <c r="D19" s="261">
        <f>D43</f>
        <v>0</v>
      </c>
      <c r="E19" s="240">
        <f>E43</f>
        <v>272756</v>
      </c>
      <c r="F19" s="240">
        <f>F43</f>
        <v>180226</v>
      </c>
      <c r="G19" s="240">
        <f>G43</f>
        <v>154450</v>
      </c>
      <c r="H19" s="240">
        <f>H43</f>
        <v>51474</v>
      </c>
      <c r="I19" s="239">
        <f>I43</f>
        <v>42381</v>
      </c>
      <c r="J19" s="239">
        <f>J43</f>
        <v>23198</v>
      </c>
      <c r="K19" s="239">
        <f>K43</f>
        <v>0</v>
      </c>
      <c r="L19" s="238">
        <f>L43</f>
        <v>57835</v>
      </c>
      <c r="M19" s="238">
        <f>M43</f>
        <v>166400</v>
      </c>
      <c r="N19" s="238">
        <f>N43</f>
        <v>97808</v>
      </c>
      <c r="O19" s="259">
        <f>O43</f>
        <v>0</v>
      </c>
      <c r="P19" s="234">
        <f>SUM(D19:O19)</f>
        <v>1046528</v>
      </c>
      <c r="Q19" s="219" t="s">
        <v>180</v>
      </c>
      <c r="R19" s="134" t="str">
        <f>C19</f>
        <v>Demolition</v>
      </c>
    </row>
    <row r="20" spans="2:28">
      <c r="C20" s="220" t="s">
        <v>199</v>
      </c>
      <c r="D20" s="261">
        <v>183687</v>
      </c>
      <c r="E20" s="260">
        <v>0</v>
      </c>
      <c r="F20" s="260">
        <v>0</v>
      </c>
      <c r="G20" s="260">
        <v>0</v>
      </c>
      <c r="H20" s="260">
        <v>0</v>
      </c>
      <c r="I20" s="239">
        <v>0</v>
      </c>
      <c r="J20" s="239">
        <v>0</v>
      </c>
      <c r="K20" s="239">
        <v>0</v>
      </c>
      <c r="L20" s="238">
        <v>0</v>
      </c>
      <c r="M20" s="238">
        <v>0</v>
      </c>
      <c r="N20" s="238">
        <v>0</v>
      </c>
      <c r="O20" s="259">
        <v>0</v>
      </c>
      <c r="P20" s="234">
        <f>SUM(D20:O20)</f>
        <v>183687</v>
      </c>
      <c r="Q20" s="219" t="s">
        <v>180</v>
      </c>
      <c r="R20" s="134" t="str">
        <f>C20</f>
        <v>Garage Renovation</v>
      </c>
    </row>
    <row r="21" spans="2:28" ht="15.95" thickBot="1">
      <c r="B21" s="258"/>
      <c r="C21" s="220" t="s">
        <v>200</v>
      </c>
      <c r="D21" s="257">
        <v>0</v>
      </c>
      <c r="E21" s="256">
        <f>E32</f>
        <v>75000</v>
      </c>
      <c r="F21" s="256">
        <v>0</v>
      </c>
      <c r="G21" s="256">
        <v>0</v>
      </c>
      <c r="H21" s="256">
        <v>0</v>
      </c>
      <c r="I21" s="255">
        <v>0</v>
      </c>
      <c r="J21" s="255">
        <v>0</v>
      </c>
      <c r="K21" s="255">
        <v>0</v>
      </c>
      <c r="L21" s="254">
        <f>L34</f>
        <v>56000</v>
      </c>
      <c r="M21" s="254">
        <v>0</v>
      </c>
      <c r="N21" s="254">
        <v>0</v>
      </c>
      <c r="O21" s="253">
        <v>0</v>
      </c>
      <c r="P21" s="227">
        <f>SUM(D21:O21)</f>
        <v>131000</v>
      </c>
      <c r="Q21" s="219" t="s">
        <v>201</v>
      </c>
      <c r="R21" s="134" t="str">
        <f>C21</f>
        <v>Remediation</v>
      </c>
      <c r="AB21" s="142"/>
    </row>
    <row r="22" spans="2:28" ht="15.95" thickBot="1">
      <c r="E22" s="756" t="s">
        <v>202</v>
      </c>
      <c r="F22" s="757"/>
      <c r="G22" s="757"/>
      <c r="H22" s="758"/>
    </row>
    <row r="23" spans="2:28" ht="15.95" thickBot="1"/>
    <row r="24" spans="2:28" ht="15.95" thickBot="1">
      <c r="D24" s="759" t="s">
        <v>203</v>
      </c>
      <c r="E24" s="760"/>
      <c r="F24" s="760"/>
      <c r="G24" s="760"/>
      <c r="H24" s="760"/>
      <c r="I24" s="760"/>
      <c r="J24" s="760"/>
      <c r="K24" s="760"/>
      <c r="L24" s="760"/>
      <c r="M24" s="760"/>
      <c r="N24" s="760"/>
      <c r="O24" s="761"/>
      <c r="P24" s="218"/>
      <c r="Q24" s="218"/>
    </row>
    <row r="25" spans="2:28">
      <c r="B25" s="252"/>
      <c r="C25" s="220" t="s">
        <v>204</v>
      </c>
      <c r="D25" s="251">
        <v>0</v>
      </c>
      <c r="E25" s="250">
        <v>4500</v>
      </c>
      <c r="F25" s="250">
        <v>0</v>
      </c>
      <c r="G25" s="250">
        <v>0</v>
      </c>
      <c r="H25" s="250">
        <v>0</v>
      </c>
      <c r="I25" s="249">
        <v>0</v>
      </c>
      <c r="J25" s="249">
        <v>0</v>
      </c>
      <c r="K25" s="249">
        <v>0</v>
      </c>
      <c r="L25" s="248">
        <v>0</v>
      </c>
      <c r="M25" s="248">
        <v>0</v>
      </c>
      <c r="N25" s="248">
        <v>0</v>
      </c>
      <c r="O25" s="247">
        <v>0</v>
      </c>
      <c r="P25" s="246">
        <f>SUM(D25:O25)</f>
        <v>4500</v>
      </c>
      <c r="Q25" s="219" t="s">
        <v>180</v>
      </c>
      <c r="R25" s="134" t="str">
        <f>C25</f>
        <v>BART Station</v>
      </c>
    </row>
    <row r="26" spans="2:28">
      <c r="B26" s="245"/>
      <c r="C26" s="220" t="s">
        <v>205</v>
      </c>
      <c r="D26" s="241">
        <v>0</v>
      </c>
      <c r="E26" s="240">
        <v>4125</v>
      </c>
      <c r="F26" s="240">
        <v>0</v>
      </c>
      <c r="G26" s="240">
        <v>0</v>
      </c>
      <c r="H26" s="240">
        <v>0</v>
      </c>
      <c r="I26" s="239">
        <v>0</v>
      </c>
      <c r="J26" s="239">
        <v>0</v>
      </c>
      <c r="K26" s="239">
        <v>0</v>
      </c>
      <c r="L26" s="238">
        <v>0</v>
      </c>
      <c r="M26" s="238">
        <v>0</v>
      </c>
      <c r="N26" s="238">
        <v>0</v>
      </c>
      <c r="O26" s="242">
        <v>0</v>
      </c>
      <c r="P26" s="234">
        <f>SUM(D26:O26)</f>
        <v>4125</v>
      </c>
      <c r="Q26" s="219" t="s">
        <v>180</v>
      </c>
      <c r="R26" s="134" t="str">
        <f>C26</f>
        <v>Bus Transit Hub</v>
      </c>
    </row>
    <row r="27" spans="2:28">
      <c r="B27" s="244"/>
      <c r="C27" s="210" t="s">
        <v>206</v>
      </c>
      <c r="D27" s="241">
        <v>0</v>
      </c>
      <c r="E27" s="243">
        <v>87219</v>
      </c>
      <c r="F27" s="240">
        <v>0</v>
      </c>
      <c r="G27" s="240">
        <v>0</v>
      </c>
      <c r="H27" s="240">
        <v>0</v>
      </c>
      <c r="I27" s="239">
        <v>0</v>
      </c>
      <c r="J27" s="239">
        <v>0</v>
      </c>
      <c r="K27" s="239">
        <v>0</v>
      </c>
      <c r="L27" s="238">
        <v>0</v>
      </c>
      <c r="M27" s="238">
        <v>0</v>
      </c>
      <c r="N27" s="238">
        <v>0</v>
      </c>
      <c r="O27" s="242">
        <v>0</v>
      </c>
      <c r="P27" s="234">
        <f>SUM(D27:O27)</f>
        <v>87219</v>
      </c>
      <c r="Q27" s="219" t="s">
        <v>180</v>
      </c>
      <c r="R27" s="134" t="str">
        <f>C27</f>
        <v>Existing Public Park</v>
      </c>
    </row>
    <row r="28" spans="2:28">
      <c r="B28" s="233"/>
      <c r="C28" s="193" t="s">
        <v>207</v>
      </c>
      <c r="D28" s="236">
        <v>0</v>
      </c>
      <c r="E28" s="240">
        <f>344542-75000</f>
        <v>269542</v>
      </c>
      <c r="F28" s="240">
        <v>0</v>
      </c>
      <c r="G28" s="240">
        <v>0</v>
      </c>
      <c r="H28" s="240">
        <v>0</v>
      </c>
      <c r="I28" s="239">
        <v>0</v>
      </c>
      <c r="J28" s="239">
        <v>0</v>
      </c>
      <c r="K28" s="239">
        <v>0</v>
      </c>
      <c r="L28" s="238">
        <v>0</v>
      </c>
      <c r="M28" s="238">
        <v>0</v>
      </c>
      <c r="N28" s="238">
        <v>0</v>
      </c>
      <c r="O28" s="242">
        <v>0</v>
      </c>
      <c r="P28" s="234">
        <f>SUM(D28:O28)</f>
        <v>269542</v>
      </c>
      <c r="Q28" s="219" t="s">
        <v>180</v>
      </c>
      <c r="R28" s="134" t="str">
        <f>C28</f>
        <v>Misc. Public Space</v>
      </c>
    </row>
    <row r="29" spans="2:28">
      <c r="B29" s="233"/>
      <c r="C29" s="193" t="s">
        <v>208</v>
      </c>
      <c r="D29" s="241">
        <v>0</v>
      </c>
      <c r="E29" s="240">
        <v>28534</v>
      </c>
      <c r="F29" s="240">
        <v>0</v>
      </c>
      <c r="G29" s="240">
        <v>0</v>
      </c>
      <c r="H29" s="240">
        <v>0</v>
      </c>
      <c r="I29" s="239">
        <v>0</v>
      </c>
      <c r="J29" s="239">
        <v>0</v>
      </c>
      <c r="K29" s="239">
        <v>0</v>
      </c>
      <c r="L29" s="238">
        <v>4544</v>
      </c>
      <c r="M29" s="237">
        <v>0</v>
      </c>
      <c r="N29" s="237">
        <v>0</v>
      </c>
      <c r="O29" s="235">
        <v>0</v>
      </c>
      <c r="P29" s="234">
        <f>SUM(D29:O29)</f>
        <v>33078</v>
      </c>
      <c r="Q29" s="219" t="s">
        <v>180</v>
      </c>
      <c r="R29" s="134" t="str">
        <f>C29</f>
        <v>Misc. Enclosed</v>
      </c>
    </row>
    <row r="30" spans="2:28">
      <c r="B30" s="233"/>
      <c r="C30" s="193" t="s">
        <v>209</v>
      </c>
      <c r="D30" s="236">
        <v>0</v>
      </c>
      <c r="E30" s="240">
        <v>0</v>
      </c>
      <c r="F30" s="240">
        <v>0</v>
      </c>
      <c r="G30" s="240">
        <v>0</v>
      </c>
      <c r="H30" s="240">
        <v>0</v>
      </c>
      <c r="I30" s="239">
        <v>70107</v>
      </c>
      <c r="J30" s="239">
        <v>0</v>
      </c>
      <c r="K30" s="239">
        <v>0</v>
      </c>
      <c r="L30" s="238">
        <v>0</v>
      </c>
      <c r="M30" s="237">
        <v>0</v>
      </c>
      <c r="N30" s="237">
        <v>0</v>
      </c>
      <c r="O30" s="235">
        <v>0</v>
      </c>
      <c r="P30" s="234">
        <f>SUM(D30:O30)</f>
        <v>70107</v>
      </c>
      <c r="Q30" s="219" t="s">
        <v>180</v>
      </c>
      <c r="R30" s="134" t="str">
        <f>C30</f>
        <v>Open Market</v>
      </c>
    </row>
    <row r="31" spans="2:28">
      <c r="B31" s="233"/>
      <c r="C31" s="193" t="s">
        <v>210</v>
      </c>
      <c r="D31" s="236">
        <v>0</v>
      </c>
      <c r="E31" s="137">
        <v>0</v>
      </c>
      <c r="F31" s="137">
        <v>0</v>
      </c>
      <c r="G31" s="137">
        <v>0</v>
      </c>
      <c r="H31" s="137">
        <v>0</v>
      </c>
      <c r="I31" s="138">
        <v>74200</v>
      </c>
      <c r="J31" s="138">
        <v>0</v>
      </c>
      <c r="K31" s="138">
        <v>0</v>
      </c>
      <c r="L31" s="139">
        <v>0</v>
      </c>
      <c r="M31" s="139">
        <v>0</v>
      </c>
      <c r="N31" s="139">
        <v>0</v>
      </c>
      <c r="O31" s="235">
        <v>0</v>
      </c>
      <c r="P31" s="234">
        <f>SUM(D31:O31)</f>
        <v>74200</v>
      </c>
      <c r="Q31" s="219" t="s">
        <v>180</v>
      </c>
      <c r="R31" s="134" t="str">
        <f>C31</f>
        <v>Enclosed Market</v>
      </c>
    </row>
    <row r="32" spans="2:28">
      <c r="B32" s="233"/>
      <c r="C32" s="193" t="s">
        <v>211</v>
      </c>
      <c r="D32" s="236">
        <v>0</v>
      </c>
      <c r="E32" s="137">
        <v>75000</v>
      </c>
      <c r="F32" s="137">
        <v>0</v>
      </c>
      <c r="G32" s="137">
        <v>0</v>
      </c>
      <c r="H32" s="137">
        <v>0</v>
      </c>
      <c r="I32" s="138">
        <v>0</v>
      </c>
      <c r="J32" s="138">
        <v>0</v>
      </c>
      <c r="K32" s="138">
        <v>0</v>
      </c>
      <c r="L32" s="139">
        <v>79263</v>
      </c>
      <c r="M32" s="139">
        <v>0</v>
      </c>
      <c r="N32" s="139">
        <v>0</v>
      </c>
      <c r="O32" s="235">
        <v>0</v>
      </c>
      <c r="P32" s="234">
        <f>SUM(D32:O32)</f>
        <v>154263</v>
      </c>
      <c r="Q32" s="219" t="s">
        <v>180</v>
      </c>
      <c r="R32" s="134" t="str">
        <f>C32</f>
        <v>Park Space</v>
      </c>
    </row>
    <row r="33" spans="2:27">
      <c r="B33" s="233"/>
      <c r="C33" s="193" t="s">
        <v>212</v>
      </c>
      <c r="D33" s="236">
        <v>0</v>
      </c>
      <c r="E33" s="137">
        <v>0</v>
      </c>
      <c r="F33" s="137">
        <v>0</v>
      </c>
      <c r="G33" s="137">
        <v>0</v>
      </c>
      <c r="H33" s="137">
        <v>0</v>
      </c>
      <c r="I33" s="138">
        <v>0</v>
      </c>
      <c r="J33" s="138">
        <v>0</v>
      </c>
      <c r="K33" s="138">
        <v>0</v>
      </c>
      <c r="L33" s="139">
        <v>20000</v>
      </c>
      <c r="M33" s="139">
        <v>0</v>
      </c>
      <c r="N33" s="139">
        <v>0</v>
      </c>
      <c r="O33" s="235">
        <v>0</v>
      </c>
      <c r="P33" s="234">
        <f>SUM(D33:O33)</f>
        <v>20000</v>
      </c>
      <c r="Q33" s="219" t="s">
        <v>180</v>
      </c>
      <c r="R33" s="134" t="str">
        <f>C33</f>
        <v>Amphitheater</v>
      </c>
    </row>
    <row r="34" spans="2:27">
      <c r="B34" s="233"/>
      <c r="C34" s="193" t="s">
        <v>213</v>
      </c>
      <c r="D34" s="236">
        <v>0</v>
      </c>
      <c r="E34" s="137">
        <v>0</v>
      </c>
      <c r="F34" s="137">
        <v>0</v>
      </c>
      <c r="G34" s="137">
        <v>0</v>
      </c>
      <c r="H34" s="137">
        <v>0</v>
      </c>
      <c r="I34" s="138">
        <v>0</v>
      </c>
      <c r="J34" s="138">
        <v>0</v>
      </c>
      <c r="K34" s="138">
        <v>0</v>
      </c>
      <c r="L34" s="139">
        <v>56000</v>
      </c>
      <c r="M34" s="139">
        <v>0</v>
      </c>
      <c r="N34" s="139">
        <v>0</v>
      </c>
      <c r="O34" s="235">
        <v>0</v>
      </c>
      <c r="P34" s="234">
        <f>SUM(D34:O34)</f>
        <v>56000</v>
      </c>
      <c r="Q34" s="219" t="s">
        <v>180</v>
      </c>
      <c r="R34" s="134" t="str">
        <f>C34</f>
        <v>Community Garden</v>
      </c>
    </row>
    <row r="35" spans="2:27" ht="15.95" thickBot="1">
      <c r="B35" s="233"/>
      <c r="C35" s="193" t="s">
        <v>214</v>
      </c>
      <c r="D35" s="232">
        <v>0</v>
      </c>
      <c r="E35" s="231">
        <v>0</v>
      </c>
      <c r="F35" s="231">
        <v>0</v>
      </c>
      <c r="G35" s="231">
        <v>0</v>
      </c>
      <c r="H35" s="231">
        <v>0</v>
      </c>
      <c r="I35" s="230">
        <v>0</v>
      </c>
      <c r="J35" s="230">
        <v>0</v>
      </c>
      <c r="K35" s="230">
        <v>0</v>
      </c>
      <c r="L35" s="229">
        <v>0</v>
      </c>
      <c r="M35" s="229">
        <v>0</v>
      </c>
      <c r="N35" s="229">
        <v>0</v>
      </c>
      <c r="O35" s="228">
        <v>50850</v>
      </c>
      <c r="P35" s="227">
        <f>SUM(D35:O35)</f>
        <v>50850</v>
      </c>
      <c r="Q35" s="219" t="s">
        <v>180</v>
      </c>
      <c r="R35" s="134" t="str">
        <f>C35</f>
        <v>Green Ballpark street</v>
      </c>
    </row>
    <row r="36" spans="2:27" ht="15.95" thickBot="1"/>
    <row r="37" spans="2:27" ht="15.95" thickBot="1">
      <c r="D37" s="759" t="s">
        <v>215</v>
      </c>
      <c r="E37" s="760"/>
      <c r="F37" s="760"/>
      <c r="G37" s="760"/>
      <c r="H37" s="760"/>
      <c r="I37" s="760"/>
      <c r="J37" s="760"/>
      <c r="K37" s="760"/>
      <c r="L37" s="760"/>
      <c r="M37" s="760"/>
      <c r="N37" s="760"/>
      <c r="O37" s="761"/>
      <c r="P37" s="218"/>
      <c r="Q37" s="218"/>
    </row>
    <row r="38" spans="2:27" ht="15.95" thickBot="1">
      <c r="D38" s="135" t="s">
        <v>170</v>
      </c>
      <c r="E38" s="751" t="s">
        <v>171</v>
      </c>
      <c r="F38" s="751"/>
      <c r="G38" s="751"/>
      <c r="H38" s="751"/>
      <c r="I38" s="752" t="s">
        <v>172</v>
      </c>
      <c r="J38" s="752"/>
      <c r="K38" s="752"/>
      <c r="L38" s="753" t="s">
        <v>173</v>
      </c>
      <c r="M38" s="754"/>
      <c r="N38" s="755"/>
      <c r="O38" s="136" t="s">
        <v>174</v>
      </c>
    </row>
    <row r="39" spans="2:27">
      <c r="C39" s="226"/>
      <c r="D39" s="217" t="s">
        <v>175</v>
      </c>
      <c r="E39" s="216">
        <v>2024</v>
      </c>
      <c r="F39" s="216">
        <v>2025</v>
      </c>
      <c r="G39" s="216">
        <v>2026</v>
      </c>
      <c r="H39" s="216">
        <v>2027</v>
      </c>
      <c r="I39" s="215">
        <v>2028</v>
      </c>
      <c r="J39" s="215">
        <v>2029</v>
      </c>
      <c r="K39" s="215">
        <v>2030</v>
      </c>
      <c r="L39" s="214">
        <v>2031</v>
      </c>
      <c r="M39" s="214">
        <v>2032</v>
      </c>
      <c r="N39" s="214">
        <v>2033</v>
      </c>
      <c r="O39" s="213" t="s">
        <v>176</v>
      </c>
      <c r="P39" s="212"/>
      <c r="Q39" s="212"/>
      <c r="W39" s="168"/>
      <c r="Y39" s="142"/>
    </row>
    <row r="40" spans="2:27">
      <c r="C40" s="226"/>
      <c r="D40" s="225"/>
      <c r="E40" s="224">
        <v>272756</v>
      </c>
      <c r="F40" s="224">
        <v>4228</v>
      </c>
      <c r="G40" s="224">
        <f>24836*6</f>
        <v>149016</v>
      </c>
      <c r="H40" s="224">
        <v>51474</v>
      </c>
      <c r="I40" s="223">
        <v>10970</v>
      </c>
      <c r="J40" s="223">
        <f>23198</f>
        <v>23198</v>
      </c>
      <c r="K40" s="223"/>
      <c r="L40" s="222">
        <v>41346</v>
      </c>
      <c r="M40" s="222">
        <v>74640</v>
      </c>
      <c r="N40" s="222">
        <v>97808</v>
      </c>
      <c r="O40" s="221"/>
      <c r="P40" s="202"/>
      <c r="Q40" s="202"/>
      <c r="W40" s="142"/>
      <c r="Y40" s="142"/>
    </row>
    <row r="41" spans="2:27">
      <c r="C41" s="226"/>
      <c r="D41" s="225"/>
      <c r="E41" s="224"/>
      <c r="F41" s="224">
        <f>15446*6</f>
        <v>92676</v>
      </c>
      <c r="G41" s="224">
        <v>5434</v>
      </c>
      <c r="H41" s="224"/>
      <c r="I41" s="223">
        <f>7382*2</f>
        <v>14764</v>
      </c>
      <c r="J41" s="223"/>
      <c r="K41" s="223"/>
      <c r="L41" s="222">
        <v>16489</v>
      </c>
      <c r="M41" s="222">
        <v>14090</v>
      </c>
      <c r="N41" s="222"/>
      <c r="O41" s="221"/>
      <c r="P41" s="202"/>
      <c r="Q41" s="202"/>
    </row>
    <row r="42" spans="2:27" ht="15.95" thickBot="1">
      <c r="C42" s="226"/>
      <c r="D42" s="225"/>
      <c r="E42" s="224"/>
      <c r="F42" s="224">
        <f>27774*3</f>
        <v>83322</v>
      </c>
      <c r="G42" s="224"/>
      <c r="H42" s="224"/>
      <c r="I42" s="223">
        <f>5549*3</f>
        <v>16647</v>
      </c>
      <c r="J42" s="223"/>
      <c r="K42" s="223"/>
      <c r="L42" s="222"/>
      <c r="M42" s="222">
        <v>77670</v>
      </c>
      <c r="N42" s="222"/>
      <c r="O42" s="221"/>
      <c r="P42" s="202"/>
      <c r="Q42" s="202"/>
      <c r="U42" s="211"/>
      <c r="V42" s="211"/>
      <c r="W42" s="202"/>
    </row>
    <row r="43" spans="2:27" ht="15.95" thickBot="1">
      <c r="C43" s="220" t="s">
        <v>216</v>
      </c>
      <c r="D43" s="201">
        <f>SUM(D40:D42)</f>
        <v>0</v>
      </c>
      <c r="E43" s="200">
        <f>SUM(E40:E42)</f>
        <v>272756</v>
      </c>
      <c r="F43" s="200">
        <f>SUM(F40:F42)</f>
        <v>180226</v>
      </c>
      <c r="G43" s="200">
        <f>SUM(G40:G42)</f>
        <v>154450</v>
      </c>
      <c r="H43" s="200">
        <f>SUM(H40:H42)</f>
        <v>51474</v>
      </c>
      <c r="I43" s="200">
        <f>SUM(I40:I42)</f>
        <v>42381</v>
      </c>
      <c r="J43" s="200">
        <f>SUM(J40:J42)</f>
        <v>23198</v>
      </c>
      <c r="K43" s="200">
        <f>SUM(K40:K42)</f>
        <v>0</v>
      </c>
      <c r="L43" s="200">
        <f>SUM(L40:L42)</f>
        <v>57835</v>
      </c>
      <c r="M43" s="200">
        <f>SUM(M40:M42)</f>
        <v>166400</v>
      </c>
      <c r="N43" s="200">
        <f>SUM(N40:N42)</f>
        <v>97808</v>
      </c>
      <c r="O43" s="199">
        <f>SUM(O40:O42)</f>
        <v>0</v>
      </c>
      <c r="P43" s="219"/>
      <c r="Q43" s="219"/>
      <c r="T43" s="210"/>
      <c r="U43" s="210"/>
      <c r="V43" s="210"/>
      <c r="W43" s="202"/>
    </row>
    <row r="44" spans="2:27" ht="15.95" thickBot="1"/>
    <row r="45" spans="2:27" ht="15.95" thickBot="1">
      <c r="D45" s="759" t="s">
        <v>217</v>
      </c>
      <c r="E45" s="760"/>
      <c r="F45" s="760"/>
      <c r="G45" s="760"/>
      <c r="H45" s="760"/>
      <c r="I45" s="760"/>
      <c r="J45" s="760"/>
      <c r="K45" s="760"/>
      <c r="L45" s="760"/>
      <c r="M45" s="760"/>
      <c r="N45" s="760"/>
      <c r="O45" s="761"/>
      <c r="P45" s="218"/>
      <c r="Q45" s="218"/>
    </row>
    <row r="46" spans="2:27" ht="15.95" thickBot="1">
      <c r="D46" s="135" t="s">
        <v>170</v>
      </c>
      <c r="E46" s="751" t="s">
        <v>171</v>
      </c>
      <c r="F46" s="751"/>
      <c r="G46" s="751"/>
      <c r="H46" s="751"/>
      <c r="I46" s="752" t="s">
        <v>172</v>
      </c>
      <c r="J46" s="752"/>
      <c r="K46" s="752"/>
      <c r="L46" s="753" t="s">
        <v>173</v>
      </c>
      <c r="M46" s="754"/>
      <c r="N46" s="755"/>
      <c r="O46" s="136" t="s">
        <v>174</v>
      </c>
    </row>
    <row r="47" spans="2:27">
      <c r="D47" s="217" t="s">
        <v>175</v>
      </c>
      <c r="E47" s="216">
        <v>2024</v>
      </c>
      <c r="F47" s="216">
        <v>2025</v>
      </c>
      <c r="G47" s="216">
        <v>2026</v>
      </c>
      <c r="H47" s="216">
        <v>2027</v>
      </c>
      <c r="I47" s="215">
        <v>2028</v>
      </c>
      <c r="J47" s="215">
        <v>2029</v>
      </c>
      <c r="K47" s="215">
        <v>2030</v>
      </c>
      <c r="L47" s="214">
        <v>2031</v>
      </c>
      <c r="M47" s="214">
        <v>2032</v>
      </c>
      <c r="N47" s="214">
        <v>2033</v>
      </c>
      <c r="O47" s="213" t="s">
        <v>176</v>
      </c>
      <c r="P47" s="212"/>
      <c r="Q47" s="212"/>
    </row>
    <row r="48" spans="2:27">
      <c r="B48" s="209"/>
      <c r="C48" s="209" t="s">
        <v>218</v>
      </c>
      <c r="D48" s="208">
        <f>SUM(D6:D6)</f>
        <v>0</v>
      </c>
      <c r="E48" s="207">
        <f>SUM(E6:E6)</f>
        <v>218816</v>
      </c>
      <c r="F48" s="207">
        <f>SUM(F6:F6)</f>
        <v>200187</v>
      </c>
      <c r="G48" s="207">
        <f>SUM(G6:G6)</f>
        <v>152849</v>
      </c>
      <c r="H48" s="207">
        <f>SUM(H6:H6)</f>
        <v>0</v>
      </c>
      <c r="I48" s="207">
        <f>SUM(I6:I6)</f>
        <v>63168</v>
      </c>
      <c r="J48" s="207">
        <f>SUM(J6:J6)</f>
        <v>259979</v>
      </c>
      <c r="K48" s="207">
        <f>SUM(K6:K6)</f>
        <v>163026</v>
      </c>
      <c r="L48" s="207">
        <f>SUM(L6:L6)</f>
        <v>0</v>
      </c>
      <c r="M48" s="207">
        <f>SUM(M6:M6)</f>
        <v>0</v>
      </c>
      <c r="N48" s="207">
        <f>SUM(N6:N6)</f>
        <v>96000</v>
      </c>
      <c r="O48" s="206">
        <f>SUM(O6:O6)</f>
        <v>0</v>
      </c>
      <c r="P48" s="202"/>
      <c r="Q48" s="202"/>
      <c r="Z48" s="211"/>
      <c r="AA48" s="211"/>
    </row>
    <row r="49" spans="2:30">
      <c r="B49" s="134">
        <v>1</v>
      </c>
      <c r="C49" s="134" t="s">
        <v>219</v>
      </c>
      <c r="D49" s="205">
        <f>(D48/1000)*B49</f>
        <v>0</v>
      </c>
      <c r="E49" s="204">
        <f>(E48/1000)*B49</f>
        <v>218.816</v>
      </c>
      <c r="F49" s="204">
        <f>(F48/1000)*B49</f>
        <v>200.18700000000001</v>
      </c>
      <c r="G49" s="204">
        <f>(G48/1000)*B49</f>
        <v>152.84899999999999</v>
      </c>
      <c r="H49" s="204">
        <f>(H48/1000)*B49</f>
        <v>0</v>
      </c>
      <c r="I49" s="204">
        <f>(I48/1000)*B49</f>
        <v>63.167999999999999</v>
      </c>
      <c r="J49" s="204">
        <f>(J48/1000)*B49</f>
        <v>259.97899999999998</v>
      </c>
      <c r="K49" s="204">
        <f>(K48/1000)*B49</f>
        <v>163.02600000000001</v>
      </c>
      <c r="L49" s="204">
        <f>(L48/1000)*B49</f>
        <v>0</v>
      </c>
      <c r="M49" s="204">
        <f>(M48/1000)*B49</f>
        <v>0</v>
      </c>
      <c r="N49" s="204">
        <f>(N48/1000)*B49</f>
        <v>96</v>
      </c>
      <c r="O49" s="203">
        <f>(O48/1000)*B49</f>
        <v>0</v>
      </c>
      <c r="P49" s="202"/>
      <c r="Q49" s="202"/>
      <c r="Y49" s="210"/>
      <c r="Z49" s="210"/>
      <c r="AA49" s="210"/>
      <c r="AB49" s="168"/>
      <c r="AD49" s="142"/>
    </row>
    <row r="50" spans="2:30">
      <c r="B50" s="209"/>
      <c r="C50" s="209" t="s">
        <v>220</v>
      </c>
      <c r="D50" s="208">
        <f>SUM(D7:D7)</f>
        <v>0</v>
      </c>
      <c r="E50" s="207">
        <f>SUM(E7:E7)</f>
        <v>0</v>
      </c>
      <c r="F50" s="207">
        <f>SUM(F7:F7)</f>
        <v>0</v>
      </c>
      <c r="G50" s="207">
        <f>SUM(G7:G7)</f>
        <v>0</v>
      </c>
      <c r="H50" s="207">
        <f>SUM(H7:H7)</f>
        <v>312568</v>
      </c>
      <c r="I50" s="207">
        <f>SUM(I7:I7)</f>
        <v>0</v>
      </c>
      <c r="J50" s="207">
        <f>SUM(J7:J7)</f>
        <v>0</v>
      </c>
      <c r="K50" s="207">
        <f>SUM(K7:K7)</f>
        <v>0</v>
      </c>
      <c r="L50" s="207">
        <f>SUM(L7:L7)</f>
        <v>0</v>
      </c>
      <c r="M50" s="207">
        <f>SUM(M7:M7)</f>
        <v>0</v>
      </c>
      <c r="N50" s="207">
        <f>SUM(N7:N7)</f>
        <v>0</v>
      </c>
      <c r="O50" s="206">
        <f>SUM(O7:O7)</f>
        <v>0</v>
      </c>
      <c r="P50" s="202"/>
      <c r="Q50" s="202"/>
      <c r="AB50" s="168"/>
      <c r="AD50" s="142"/>
    </row>
    <row r="51" spans="2:30">
      <c r="B51" s="167">
        <v>0.5</v>
      </c>
      <c r="C51" s="134" t="s">
        <v>219</v>
      </c>
      <c r="D51" s="205">
        <f>(D50/1000)*B51</f>
        <v>0</v>
      </c>
      <c r="E51" s="204">
        <f>(E50/1000)*B51</f>
        <v>0</v>
      </c>
      <c r="F51" s="204">
        <f>(F50/1000)*B51</f>
        <v>0</v>
      </c>
      <c r="G51" s="204">
        <f>(G50/1000)*B51</f>
        <v>0</v>
      </c>
      <c r="H51" s="204">
        <f>(H50/1000)*B51</f>
        <v>156.28399999999999</v>
      </c>
      <c r="I51" s="204">
        <f>(I50/1000)*B51</f>
        <v>0</v>
      </c>
      <c r="J51" s="204">
        <f>(J50/1000)*B51</f>
        <v>0</v>
      </c>
      <c r="K51" s="204">
        <f>(K50/1000)*B51</f>
        <v>0</v>
      </c>
      <c r="L51" s="204">
        <f>(L50/1000)*B51</f>
        <v>0</v>
      </c>
      <c r="M51" s="204">
        <f>(M50/1000)*B51</f>
        <v>0</v>
      </c>
      <c r="N51" s="204">
        <f>(N50/1000)*B51</f>
        <v>0</v>
      </c>
      <c r="O51" s="203">
        <f>(O50/1000)*B51</f>
        <v>0</v>
      </c>
      <c r="P51" s="134" t="s">
        <v>221</v>
      </c>
      <c r="Q51" s="134"/>
      <c r="AB51" s="142"/>
      <c r="AD51" s="142"/>
    </row>
    <row r="52" spans="2:30">
      <c r="B52" s="209"/>
      <c r="C52" s="209" t="s">
        <v>222</v>
      </c>
      <c r="D52" s="208">
        <f>D8</f>
        <v>0</v>
      </c>
      <c r="E52" s="207">
        <f>E8</f>
        <v>68071</v>
      </c>
      <c r="F52" s="207">
        <f>F8</f>
        <v>84449</v>
      </c>
      <c r="G52" s="207">
        <f>G8</f>
        <v>100899</v>
      </c>
      <c r="H52" s="207">
        <f>H8</f>
        <v>0</v>
      </c>
      <c r="I52" s="207">
        <f>I8</f>
        <v>0</v>
      </c>
      <c r="J52" s="207">
        <f>J8</f>
        <v>0</v>
      </c>
      <c r="K52" s="207">
        <f>K8</f>
        <v>0</v>
      </c>
      <c r="L52" s="207">
        <f>L8</f>
        <v>0</v>
      </c>
      <c r="M52" s="207">
        <f>M8</f>
        <v>0</v>
      </c>
      <c r="N52" s="207">
        <f>N8</f>
        <v>203917</v>
      </c>
      <c r="O52" s="206">
        <f>O8</f>
        <v>0</v>
      </c>
      <c r="P52" s="202"/>
      <c r="Q52" s="202"/>
    </row>
    <row r="53" spans="2:30">
      <c r="B53" s="134">
        <v>4</v>
      </c>
      <c r="C53" s="134" t="s">
        <v>223</v>
      </c>
      <c r="D53" s="205">
        <f>(D52/1000)*B53</f>
        <v>0</v>
      </c>
      <c r="E53" s="204">
        <f>(E52/1000)*B53</f>
        <v>272.28399999999999</v>
      </c>
      <c r="F53" s="204">
        <f>(F52/1000)*B53</f>
        <v>337.79599999999999</v>
      </c>
      <c r="G53" s="204">
        <f>(G52/1000)*B53</f>
        <v>403.596</v>
      </c>
      <c r="H53" s="204">
        <f>(H52/1000)*B53</f>
        <v>0</v>
      </c>
      <c r="I53" s="204">
        <f>(I52/1000)*B53</f>
        <v>0</v>
      </c>
      <c r="J53" s="204">
        <f>(J52/1000)*B53</f>
        <v>0</v>
      </c>
      <c r="K53" s="204">
        <f>(K52/1000)*B53</f>
        <v>0</v>
      </c>
      <c r="L53" s="204">
        <f>(L52/1000)*B53</f>
        <v>0</v>
      </c>
      <c r="M53" s="204">
        <f>(M52/1000)*B53</f>
        <v>0</v>
      </c>
      <c r="N53" s="204">
        <f>(N52/1000)*B53</f>
        <v>815.66800000000001</v>
      </c>
      <c r="O53" s="203">
        <f>(O52/1000)*B53</f>
        <v>0</v>
      </c>
      <c r="P53" s="202"/>
      <c r="Q53" s="202"/>
    </row>
    <row r="54" spans="2:30">
      <c r="B54" s="209"/>
      <c r="C54" s="209" t="s">
        <v>224</v>
      </c>
      <c r="D54" s="208">
        <f>SUM(D9:D10)</f>
        <v>0</v>
      </c>
      <c r="E54" s="207">
        <f>SUM(E9:E10)</f>
        <v>69115</v>
      </c>
      <c r="F54" s="207">
        <f>SUM(F9:F10)</f>
        <v>67666</v>
      </c>
      <c r="G54" s="207">
        <f>SUM(G9:G10)</f>
        <v>100509</v>
      </c>
      <c r="H54" s="207">
        <f>SUM(H9:H10)</f>
        <v>96707</v>
      </c>
      <c r="I54" s="207">
        <f>SUM(I9:I10)</f>
        <v>79631</v>
      </c>
      <c r="J54" s="207">
        <f>SUM(J9:J10)</f>
        <v>51136</v>
      </c>
      <c r="K54" s="207">
        <f>SUM(K9:K10)</f>
        <v>22552</v>
      </c>
      <c r="L54" s="207">
        <f>SUM(L9:L10)</f>
        <v>0</v>
      </c>
      <c r="M54" s="207">
        <f>SUM(M9:M10)</f>
        <v>30494</v>
      </c>
      <c r="N54" s="207">
        <f>SUM(N9:N10)</f>
        <v>86967</v>
      </c>
      <c r="O54" s="206">
        <f>SUM(O9:O10)</f>
        <v>0</v>
      </c>
      <c r="P54" s="202"/>
      <c r="Q54" s="202"/>
    </row>
    <row r="55" spans="2:30">
      <c r="B55" s="134">
        <v>3</v>
      </c>
      <c r="C55" s="134" t="s">
        <v>223</v>
      </c>
      <c r="D55" s="205">
        <f>(D54/1000)*B55</f>
        <v>0</v>
      </c>
      <c r="E55" s="204">
        <f>(E54/1000)*B55</f>
        <v>207.34499999999997</v>
      </c>
      <c r="F55" s="204">
        <f>(F54/1000)*B55</f>
        <v>202.99799999999999</v>
      </c>
      <c r="G55" s="204">
        <f>(G54/1000)*B55</f>
        <v>301.52699999999999</v>
      </c>
      <c r="H55" s="204">
        <f>(H54/1000)*B55</f>
        <v>290.12099999999998</v>
      </c>
      <c r="I55" s="204">
        <f>(I54/1000)*B55</f>
        <v>238.893</v>
      </c>
      <c r="J55" s="204">
        <f>(J54/1000)*B55</f>
        <v>153.40800000000002</v>
      </c>
      <c r="K55" s="204">
        <f>(K54/1000)*B55</f>
        <v>67.656000000000006</v>
      </c>
      <c r="L55" s="204">
        <f>(L54/1000)*B55</f>
        <v>0</v>
      </c>
      <c r="M55" s="204">
        <f>(M54/1000)*B55</f>
        <v>91.481999999999999</v>
      </c>
      <c r="N55" s="204">
        <f>(N54/1000)*B55</f>
        <v>260.90100000000001</v>
      </c>
      <c r="O55" s="203">
        <f>(O54/1000)*B55</f>
        <v>0</v>
      </c>
      <c r="P55" s="202"/>
      <c r="Q55" s="202"/>
      <c r="AB55" s="202"/>
    </row>
    <row r="56" spans="2:30">
      <c r="B56" s="209"/>
      <c r="C56" s="209" t="s">
        <v>225</v>
      </c>
      <c r="D56" s="208">
        <f>D11</f>
        <v>0</v>
      </c>
      <c r="E56" s="207">
        <f>E11</f>
        <v>0</v>
      </c>
      <c r="F56" s="207">
        <f>F11</f>
        <v>0</v>
      </c>
      <c r="G56" s="207">
        <f>G11</f>
        <v>0</v>
      </c>
      <c r="H56" s="207">
        <f>H11</f>
        <v>0</v>
      </c>
      <c r="I56" s="207">
        <f>I11</f>
        <v>0</v>
      </c>
      <c r="J56" s="207">
        <f>J11</f>
        <v>0</v>
      </c>
      <c r="K56" s="207">
        <f>K11</f>
        <v>0</v>
      </c>
      <c r="L56" s="207">
        <f>L11</f>
        <v>0</v>
      </c>
      <c r="M56" s="207">
        <f>M11</f>
        <v>371657</v>
      </c>
      <c r="N56" s="207">
        <f>N11</f>
        <v>0</v>
      </c>
      <c r="O56" s="206">
        <f>O11</f>
        <v>0</v>
      </c>
      <c r="P56" s="202"/>
      <c r="Q56" s="202"/>
      <c r="AB56" s="202"/>
    </row>
    <row r="57" spans="2:30">
      <c r="B57" s="134">
        <v>2</v>
      </c>
      <c r="C57" s="134" t="s">
        <v>223</v>
      </c>
      <c r="D57" s="205">
        <f>(D56/1000)*B57</f>
        <v>0</v>
      </c>
      <c r="E57" s="204">
        <f>(E56/1000)*B57</f>
        <v>0</v>
      </c>
      <c r="F57" s="204">
        <f>(F56/1000)*B57</f>
        <v>0</v>
      </c>
      <c r="G57" s="204">
        <f>(G56/1000)*B57</f>
        <v>0</v>
      </c>
      <c r="H57" s="204">
        <f>(H56/1000)*B57</f>
        <v>0</v>
      </c>
      <c r="I57" s="204">
        <f>(I56/1000)*B57</f>
        <v>0</v>
      </c>
      <c r="J57" s="204">
        <f>(J56/1000)*B57</f>
        <v>0</v>
      </c>
      <c r="K57" s="204">
        <f>(K56/1000)*B57</f>
        <v>0</v>
      </c>
      <c r="L57" s="204">
        <f>(L56/1000)*B57</f>
        <v>0</v>
      </c>
      <c r="M57" s="204">
        <f>(M56/1000)*B57</f>
        <v>743.31399999999996</v>
      </c>
      <c r="N57" s="204">
        <f>(N56/1000)*B57</f>
        <v>0</v>
      </c>
      <c r="O57" s="203">
        <f>(O56/1000)*B57</f>
        <v>0</v>
      </c>
      <c r="P57" s="202"/>
      <c r="Q57" s="202"/>
    </row>
    <row r="58" spans="2:30">
      <c r="B58" s="209"/>
      <c r="C58" s="209" t="s">
        <v>226</v>
      </c>
      <c r="D58" s="208">
        <f>D28+D30</f>
        <v>0</v>
      </c>
      <c r="E58" s="207">
        <f>E28+E30</f>
        <v>269542</v>
      </c>
      <c r="F58" s="207">
        <f>F28+F30</f>
        <v>0</v>
      </c>
      <c r="G58" s="207">
        <f>G28+G30</f>
        <v>0</v>
      </c>
      <c r="H58" s="207">
        <f>H28+H30</f>
        <v>0</v>
      </c>
      <c r="I58" s="207">
        <f>I28+I30</f>
        <v>70107</v>
      </c>
      <c r="J58" s="207">
        <f>J28+J30</f>
        <v>0</v>
      </c>
      <c r="K58" s="207">
        <f>K28+K30</f>
        <v>0</v>
      </c>
      <c r="L58" s="207">
        <f>L28+L30</f>
        <v>0</v>
      </c>
      <c r="M58" s="207">
        <f>M28+M30</f>
        <v>0</v>
      </c>
      <c r="N58" s="207">
        <f>N28+N30</f>
        <v>0</v>
      </c>
      <c r="O58" s="206">
        <f>O28+O30</f>
        <v>0</v>
      </c>
      <c r="P58" s="202"/>
      <c r="Q58" s="202"/>
    </row>
    <row r="59" spans="2:30">
      <c r="B59" s="134">
        <v>0.25</v>
      </c>
      <c r="C59" s="134" t="s">
        <v>223</v>
      </c>
      <c r="D59" s="205">
        <f>(D58/1000)*B59</f>
        <v>0</v>
      </c>
      <c r="E59" s="204">
        <f>(E58/1000)*B59</f>
        <v>67.385499999999993</v>
      </c>
      <c r="F59" s="204">
        <f>(F58/1000)*B59</f>
        <v>0</v>
      </c>
      <c r="G59" s="204">
        <f>(G58/1000)*B59</f>
        <v>0</v>
      </c>
      <c r="H59" s="204">
        <f>(H58/1000)*B59</f>
        <v>0</v>
      </c>
      <c r="I59" s="204">
        <f>(I58/1000)*B59</f>
        <v>17.52675</v>
      </c>
      <c r="J59" s="204">
        <f>(J58/1000)*B59</f>
        <v>0</v>
      </c>
      <c r="K59" s="204">
        <f>(K58/1000)*B59</f>
        <v>0</v>
      </c>
      <c r="L59" s="204">
        <f>(L58/1000)*B59</f>
        <v>0</v>
      </c>
      <c r="M59" s="204">
        <f>(M58/1000)*B59</f>
        <v>0</v>
      </c>
      <c r="N59" s="204">
        <f>(N58/1000)*B59</f>
        <v>0</v>
      </c>
      <c r="O59" s="203">
        <f>(O58/1000)*B59</f>
        <v>0</v>
      </c>
      <c r="P59" s="202"/>
      <c r="Q59" s="202"/>
    </row>
    <row r="60" spans="2:30">
      <c r="B60" s="209"/>
      <c r="C60" s="209" t="s">
        <v>227</v>
      </c>
      <c r="D60" s="208">
        <f>D33</f>
        <v>0</v>
      </c>
      <c r="E60" s="207">
        <f>E33</f>
        <v>0</v>
      </c>
      <c r="F60" s="207">
        <f>F33</f>
        <v>0</v>
      </c>
      <c r="G60" s="207">
        <f>G33</f>
        <v>0</v>
      </c>
      <c r="H60" s="207">
        <f>H33</f>
        <v>0</v>
      </c>
      <c r="I60" s="207">
        <f>I33</f>
        <v>0</v>
      </c>
      <c r="J60" s="207">
        <f>J33</f>
        <v>0</v>
      </c>
      <c r="K60" s="207">
        <f>K33</f>
        <v>0</v>
      </c>
      <c r="L60" s="207">
        <f>L33</f>
        <v>20000</v>
      </c>
      <c r="M60" s="207">
        <f>M33</f>
        <v>0</v>
      </c>
      <c r="N60" s="207">
        <f>N33</f>
        <v>0</v>
      </c>
      <c r="O60" s="206">
        <f>O33</f>
        <v>0</v>
      </c>
      <c r="P60" s="202"/>
      <c r="Q60" s="202"/>
    </row>
    <row r="61" spans="2:30">
      <c r="B61" s="134">
        <v>32</v>
      </c>
      <c r="C61" s="134" t="s">
        <v>223</v>
      </c>
      <c r="D61" s="205">
        <f>(D60/1000)*B61</f>
        <v>0</v>
      </c>
      <c r="E61" s="204">
        <f>(E60/1000)*B61</f>
        <v>0</v>
      </c>
      <c r="F61" s="204">
        <f>(F60/1000)*B61</f>
        <v>0</v>
      </c>
      <c r="G61" s="204">
        <f>(G60/1000)*B61</f>
        <v>0</v>
      </c>
      <c r="H61" s="204">
        <f>(H60/1000)*B61</f>
        <v>0</v>
      </c>
      <c r="I61" s="204">
        <f>(I60/1000)*B61</f>
        <v>0</v>
      </c>
      <c r="J61" s="204">
        <f>(J60/1000)*B61</f>
        <v>0</v>
      </c>
      <c r="K61" s="204">
        <f>(K60/1000)*B61</f>
        <v>0</v>
      </c>
      <c r="L61" s="204">
        <f>(L60/1000)*B61</f>
        <v>640</v>
      </c>
      <c r="M61" s="204">
        <f>(M60/1000)*B61</f>
        <v>0</v>
      </c>
      <c r="N61" s="204">
        <f>(N60/1000)*B61</f>
        <v>0</v>
      </c>
      <c r="O61" s="203">
        <f>(O60/1000)*B61</f>
        <v>0</v>
      </c>
      <c r="P61" s="202"/>
      <c r="Q61" s="202"/>
    </row>
    <row r="62" spans="2:30">
      <c r="B62" s="209"/>
      <c r="C62" s="209" t="s">
        <v>228</v>
      </c>
      <c r="D62" s="208">
        <f>D27+D32</f>
        <v>0</v>
      </c>
      <c r="E62" s="207">
        <f>E27+E32</f>
        <v>162219</v>
      </c>
      <c r="F62" s="207">
        <f>F27+F32</f>
        <v>0</v>
      </c>
      <c r="G62" s="207">
        <f>G27+G32</f>
        <v>0</v>
      </c>
      <c r="H62" s="207">
        <f>H27+H32</f>
        <v>0</v>
      </c>
      <c r="I62" s="207">
        <f>I27+I32</f>
        <v>0</v>
      </c>
      <c r="J62" s="207">
        <f>J27+J32</f>
        <v>0</v>
      </c>
      <c r="K62" s="207">
        <f>K27+K32</f>
        <v>0</v>
      </c>
      <c r="L62" s="207">
        <f>L27+L32</f>
        <v>79263</v>
      </c>
      <c r="M62" s="207">
        <f>M27+M32</f>
        <v>0</v>
      </c>
      <c r="N62" s="207">
        <f>N27+N32</f>
        <v>0</v>
      </c>
      <c r="O62" s="206">
        <f>O27+O32</f>
        <v>0</v>
      </c>
      <c r="P62" s="202"/>
      <c r="Q62" s="202"/>
    </row>
    <row r="63" spans="2:30">
      <c r="B63" s="134">
        <v>0.5</v>
      </c>
      <c r="C63" s="134" t="s">
        <v>223</v>
      </c>
      <c r="D63" s="205">
        <f>(D62/1000)*B63</f>
        <v>0</v>
      </c>
      <c r="E63" s="204">
        <f>(E62/1000)*B63</f>
        <v>81.109499999999997</v>
      </c>
      <c r="F63" s="204">
        <f>(F62/1000)*B63</f>
        <v>0</v>
      </c>
      <c r="G63" s="204">
        <f>(G62/1000)*B63</f>
        <v>0</v>
      </c>
      <c r="H63" s="204">
        <f>(H62/1000)*B63</f>
        <v>0</v>
      </c>
      <c r="I63" s="204">
        <f>(I62/1000)*B63</f>
        <v>0</v>
      </c>
      <c r="J63" s="204">
        <f>(J62/1000)*B63</f>
        <v>0</v>
      </c>
      <c r="K63" s="204">
        <f>(K62/1000)*B63</f>
        <v>0</v>
      </c>
      <c r="L63" s="204">
        <f>(L62/1000)*B63</f>
        <v>39.631500000000003</v>
      </c>
      <c r="M63" s="204">
        <f>(M62/1000)*B63</f>
        <v>0</v>
      </c>
      <c r="N63" s="204">
        <f>(N62/1000)*B63</f>
        <v>0</v>
      </c>
      <c r="O63" s="203">
        <f>(O62/1000)*B63</f>
        <v>0</v>
      </c>
      <c r="P63" s="202"/>
      <c r="Q63" s="202"/>
    </row>
    <row r="64" spans="2:30">
      <c r="B64" s="209"/>
      <c r="C64" s="209" t="s">
        <v>229</v>
      </c>
      <c r="D64" s="208">
        <f>D31+D29</f>
        <v>0</v>
      </c>
      <c r="E64" s="207">
        <f>E31+E29</f>
        <v>28534</v>
      </c>
      <c r="F64" s="207">
        <f>F31+F29</f>
        <v>0</v>
      </c>
      <c r="G64" s="207">
        <f>G31+G29</f>
        <v>0</v>
      </c>
      <c r="H64" s="207">
        <f>H31+H29</f>
        <v>0</v>
      </c>
      <c r="I64" s="207">
        <f>I31+I29</f>
        <v>74200</v>
      </c>
      <c r="J64" s="207">
        <f>J31+J29</f>
        <v>0</v>
      </c>
      <c r="K64" s="207">
        <f>K31+K29</f>
        <v>0</v>
      </c>
      <c r="L64" s="207">
        <f>L31+L29</f>
        <v>4544</v>
      </c>
      <c r="M64" s="207">
        <f>M31+M29</f>
        <v>0</v>
      </c>
      <c r="N64" s="207">
        <f>N31+N29</f>
        <v>0</v>
      </c>
      <c r="O64" s="206">
        <f>O31+O29</f>
        <v>0</v>
      </c>
      <c r="P64" s="202"/>
      <c r="Q64" s="202"/>
    </row>
    <row r="65" spans="2:17">
      <c r="B65" s="134">
        <v>2</v>
      </c>
      <c r="C65" s="134" t="s">
        <v>223</v>
      </c>
      <c r="D65" s="205">
        <f>(D64/1000)*B65</f>
        <v>0</v>
      </c>
      <c r="E65" s="204">
        <f>(E64/1000)*B65</f>
        <v>57.067999999999998</v>
      </c>
      <c r="F65" s="204">
        <f>(F64/1000)*B65</f>
        <v>0</v>
      </c>
      <c r="G65" s="204">
        <f>(G64/1000)*B65</f>
        <v>0</v>
      </c>
      <c r="H65" s="204">
        <f>(H64/1000)*B65</f>
        <v>0</v>
      </c>
      <c r="I65" s="204">
        <f>(I64/1000)*B65</f>
        <v>148.4</v>
      </c>
      <c r="J65" s="204">
        <f>(J64/1000)*B65</f>
        <v>0</v>
      </c>
      <c r="K65" s="204">
        <f>(K64/1000)*B65</f>
        <v>0</v>
      </c>
      <c r="L65" s="204">
        <f>(L64/1000)*B65</f>
        <v>9.0879999999999992</v>
      </c>
      <c r="M65" s="204">
        <f>(M64/1000)*B65</f>
        <v>0</v>
      </c>
      <c r="N65" s="204">
        <f>(N64/1000)*B65</f>
        <v>0</v>
      </c>
      <c r="O65" s="203">
        <f>(O64/1000)*B65</f>
        <v>0</v>
      </c>
      <c r="P65" s="202"/>
      <c r="Q65" s="202"/>
    </row>
    <row r="66" spans="2:17">
      <c r="B66" s="209"/>
      <c r="C66" s="209" t="s">
        <v>230</v>
      </c>
      <c r="D66" s="208">
        <f>D34</f>
        <v>0</v>
      </c>
      <c r="E66" s="207">
        <f>E34</f>
        <v>0</v>
      </c>
      <c r="F66" s="207">
        <f>F34</f>
        <v>0</v>
      </c>
      <c r="G66" s="207">
        <f>G34</f>
        <v>0</v>
      </c>
      <c r="H66" s="207">
        <f>H34</f>
        <v>0</v>
      </c>
      <c r="I66" s="207">
        <f>I34</f>
        <v>0</v>
      </c>
      <c r="J66" s="207">
        <f>J34</f>
        <v>0</v>
      </c>
      <c r="K66" s="207">
        <f>K34</f>
        <v>0</v>
      </c>
      <c r="L66" s="207">
        <f>L34</f>
        <v>56000</v>
      </c>
      <c r="M66" s="207">
        <f>M34</f>
        <v>0</v>
      </c>
      <c r="N66" s="207">
        <f>N34</f>
        <v>0</v>
      </c>
      <c r="O66" s="206">
        <f>O34</f>
        <v>0</v>
      </c>
      <c r="P66" s="202"/>
      <c r="Q66" s="202"/>
    </row>
    <row r="67" spans="2:17" ht="15.95" thickBot="1">
      <c r="B67" s="134">
        <v>0.1</v>
      </c>
      <c r="C67" s="134" t="s">
        <v>223</v>
      </c>
      <c r="D67" s="205">
        <f>(D66/1000)*B67</f>
        <v>0</v>
      </c>
      <c r="E67" s="204">
        <f>(E66/1000)*B67</f>
        <v>0</v>
      </c>
      <c r="F67" s="204">
        <f>(F66/1000)*B67</f>
        <v>0</v>
      </c>
      <c r="G67" s="204">
        <f>(G66/1000)*B67</f>
        <v>0</v>
      </c>
      <c r="H67" s="204">
        <f>(H66/1000)*B67</f>
        <v>0</v>
      </c>
      <c r="I67" s="204">
        <f>(I66/1000)*B67</f>
        <v>0</v>
      </c>
      <c r="J67" s="204">
        <f>(J66/1000)*B67</f>
        <v>0</v>
      </c>
      <c r="K67" s="204">
        <f>(K66/1000)*B67</f>
        <v>0</v>
      </c>
      <c r="L67" s="204">
        <f>(L66/1000)*B67</f>
        <v>5.6000000000000005</v>
      </c>
      <c r="M67" s="204">
        <f>(M66/1000)*B67</f>
        <v>0</v>
      </c>
      <c r="N67" s="204">
        <f>(N66/1000)*B67</f>
        <v>0</v>
      </c>
      <c r="O67" s="203">
        <f>(O66/1000)*B67</f>
        <v>0</v>
      </c>
      <c r="P67" s="202"/>
      <c r="Q67" s="202"/>
    </row>
    <row r="68" spans="2:17" ht="15.95" thickBot="1">
      <c r="D68" s="201">
        <f>D49+D53+D55+D57+D59+D63+D51+D65+D61+D67</f>
        <v>0</v>
      </c>
      <c r="E68" s="200">
        <f>E49+E53+E55+E57+E59+E63+E51+E65+E61+E67</f>
        <v>904.00799999999992</v>
      </c>
      <c r="F68" s="200">
        <f>F49+F53+F55+F57+F59+F63+F51+F65+F61+F67</f>
        <v>740.98099999999999</v>
      </c>
      <c r="G68" s="200">
        <f>G49+G53+G55+G57+G59+G63+G51+G65+G61+G67</f>
        <v>857.97199999999998</v>
      </c>
      <c r="H68" s="200">
        <f>H49+H53+H55+H57+H59+H63+H51+H65+H61+H67</f>
        <v>446.40499999999997</v>
      </c>
      <c r="I68" s="200">
        <f>I49+I53+I55+I57+I59+I63+I51+I65+I61+I67</f>
        <v>467.98775000000001</v>
      </c>
      <c r="J68" s="200">
        <f>J49+J53+J55+J57+J59+J63+J51+J65+J61+J67</f>
        <v>413.387</v>
      </c>
      <c r="K68" s="200">
        <f>K49+K53+K55+K57+K59+K63+K51+K65+K61+K67</f>
        <v>230.68200000000002</v>
      </c>
      <c r="L68" s="200">
        <f>L49+L53+L55+L57+L59+L63+L51+L65+L61+L67</f>
        <v>694.31950000000006</v>
      </c>
      <c r="M68" s="200">
        <f>M49+M53+M55+M57+M59+M63+M51+M65+M61+M67</f>
        <v>834.79599999999994</v>
      </c>
      <c r="N68" s="200">
        <f>N49+N53+N55+N57+N59+N63+N51+N65+N61+N67</f>
        <v>1172.569</v>
      </c>
      <c r="O68" s="199">
        <f>O49+O53+O55+O57+O59+O63+O51+O65+O61+O67</f>
        <v>0</v>
      </c>
      <c r="P68" s="198">
        <f>SUM(D68:O68)</f>
        <v>6763.1072500000009</v>
      </c>
      <c r="Q68" s="134" t="s">
        <v>231</v>
      </c>
    </row>
    <row r="69" spans="2:17" ht="15.95" thickBot="1">
      <c r="P69" s="163">
        <f>-P68*0.3</f>
        <v>-2028.9321750000001</v>
      </c>
      <c r="Q69" s="165" t="s">
        <v>188</v>
      </c>
    </row>
    <row r="70" spans="2:17" ht="15.95" thickBot="1">
      <c r="P70" s="163">
        <f>-P68*0.2</f>
        <v>-1352.6214500000003</v>
      </c>
      <c r="Q70" s="165" t="s">
        <v>232</v>
      </c>
    </row>
    <row r="71" spans="2:17" ht="15.95" thickBot="1">
      <c r="C71" s="193" t="s">
        <v>233</v>
      </c>
      <c r="D71" s="197">
        <f>D68-(D68*0.5)</f>
        <v>0</v>
      </c>
      <c r="E71" s="196">
        <f>E68-(E68*0.5)</f>
        <v>452.00399999999996</v>
      </c>
      <c r="F71" s="196">
        <f>F68-(F68*0.5)</f>
        <v>370.4905</v>
      </c>
      <c r="G71" s="196">
        <f>G68-(G68*0.5)</f>
        <v>428.98599999999999</v>
      </c>
      <c r="H71" s="196">
        <f>H68-(H68*0.5)</f>
        <v>223.20249999999999</v>
      </c>
      <c r="I71" s="196">
        <f>I68-(I68*0.5)</f>
        <v>233.993875</v>
      </c>
      <c r="J71" s="196">
        <f>J68-(J68*0.5)</f>
        <v>206.6935</v>
      </c>
      <c r="K71" s="196">
        <f>K68-(K68*0.5)</f>
        <v>115.34100000000001</v>
      </c>
      <c r="L71" s="196">
        <f>L68-(L68*0.5)</f>
        <v>347.15975000000003</v>
      </c>
      <c r="M71" s="196">
        <f>M68-(M68*0.5)</f>
        <v>417.39799999999997</v>
      </c>
      <c r="N71" s="196">
        <f>N68-(N68*0.5)</f>
        <v>586.28449999999998</v>
      </c>
      <c r="O71" s="195">
        <f>O68-(O68*0.5)</f>
        <v>0</v>
      </c>
      <c r="P71" s="194">
        <f>SUM(P68:P70)</f>
        <v>3381.5536250000005</v>
      </c>
      <c r="Q71" s="134" t="s">
        <v>234</v>
      </c>
    </row>
    <row r="72" spans="2:17" ht="15.95" thickBot="1">
      <c r="C72" s="193" t="s">
        <v>235</v>
      </c>
      <c r="D72" s="192">
        <f>D18</f>
        <v>524.82000000000005</v>
      </c>
      <c r="E72" s="191">
        <f>E18</f>
        <v>522.59428571428566</v>
      </c>
      <c r="F72" s="191">
        <f>F18</f>
        <v>365.32857142857142</v>
      </c>
      <c r="G72" s="191">
        <f>G18</f>
        <v>463.56571428571431</v>
      </c>
      <c r="H72" s="191">
        <f>H18</f>
        <v>295.97142857142859</v>
      </c>
      <c r="I72" s="191">
        <f>I18</f>
        <v>183.81428571428572</v>
      </c>
      <c r="J72" s="191">
        <f>J18</f>
        <v>209.06571428571428</v>
      </c>
      <c r="K72" s="191">
        <f>K18</f>
        <v>128.92571428571429</v>
      </c>
      <c r="L72" s="191">
        <f>L18</f>
        <v>0</v>
      </c>
      <c r="M72" s="191">
        <f>M18</f>
        <v>510.56571428571431</v>
      </c>
      <c r="N72" s="191">
        <f>N18</f>
        <v>539.13714285714286</v>
      </c>
      <c r="O72" s="190">
        <f>O18</f>
        <v>0</v>
      </c>
      <c r="P72" s="189">
        <f>S14</f>
        <v>3743.7885714285712</v>
      </c>
      <c r="Q72" s="134" t="s">
        <v>236</v>
      </c>
    </row>
    <row r="76" spans="2:17">
      <c r="O76" s="188"/>
      <c r="P76" s="187"/>
      <c r="Q76" s="187"/>
    </row>
  </sheetData>
  <mergeCells count="15">
    <mergeCell ref="D3:O3"/>
    <mergeCell ref="S3:X3"/>
    <mergeCell ref="E4:H4"/>
    <mergeCell ref="I4:K4"/>
    <mergeCell ref="L4:N4"/>
    <mergeCell ref="E46:H46"/>
    <mergeCell ref="I46:K46"/>
    <mergeCell ref="L46:N46"/>
    <mergeCell ref="E22:H22"/>
    <mergeCell ref="D24:O24"/>
    <mergeCell ref="D37:O37"/>
    <mergeCell ref="E38:H38"/>
    <mergeCell ref="I38:K38"/>
    <mergeCell ref="L38:N38"/>
    <mergeCell ref="D45:O45"/>
  </mergeCells>
  <pageMargins left="0.7" right="0.7" top="0.75" bottom="0.75" header="0.3" footer="0.3"/>
  <pageSetup orientation="portrait" horizontalDpi="1200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BFC2B-05E9-EE4C-AF5B-CF204646AF70}">
  <sheetPr>
    <tabColor theme="6" tint="0.79998168889431442"/>
  </sheetPr>
  <dimension ref="B1:O41"/>
  <sheetViews>
    <sheetView zoomScale="114" workbookViewId="0">
      <selection activeCell="B2" sqref="B2:N29"/>
    </sheetView>
  </sheetViews>
  <sheetFormatPr defaultColWidth="12" defaultRowHeight="12.95"/>
  <cols>
    <col min="2" max="2" width="27.1640625" customWidth="1"/>
    <col min="3" max="3" width="17.6640625" customWidth="1"/>
    <col min="4" max="4" width="15" customWidth="1"/>
    <col min="5" max="5" width="17.33203125" customWidth="1"/>
    <col min="6" max="6" width="19.33203125" customWidth="1"/>
    <col min="7" max="7" width="15.6640625" customWidth="1"/>
    <col min="8" max="8" width="14.83203125" customWidth="1"/>
    <col min="9" max="9" width="14.33203125" customWidth="1"/>
    <col min="10" max="10" width="15.6640625" customWidth="1"/>
    <col min="11" max="11" width="14.1640625" customWidth="1"/>
    <col min="12" max="12" width="16.83203125" customWidth="1"/>
    <col min="13" max="13" width="14.6640625" customWidth="1"/>
    <col min="14" max="14" width="14.1640625" customWidth="1"/>
  </cols>
  <sheetData>
    <row r="1" spans="2:14" ht="14.1" thickBot="1"/>
    <row r="2" spans="2:14" ht="18">
      <c r="B2" s="727" t="s">
        <v>576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9"/>
    </row>
    <row r="3" spans="2:14" ht="18">
      <c r="B3" s="730" t="s">
        <v>39</v>
      </c>
      <c r="C3" s="731"/>
      <c r="D3" s="731"/>
      <c r="E3" s="54">
        <v>2024</v>
      </c>
      <c r="F3" s="54">
        <v>2025</v>
      </c>
      <c r="G3" s="54">
        <v>2026</v>
      </c>
      <c r="H3" s="54">
        <v>2027</v>
      </c>
      <c r="I3" s="425">
        <v>2028</v>
      </c>
      <c r="J3" s="54">
        <v>2029</v>
      </c>
      <c r="K3" s="425">
        <v>2030</v>
      </c>
      <c r="L3" s="54">
        <v>2031</v>
      </c>
      <c r="M3" s="54">
        <v>2032</v>
      </c>
      <c r="N3" s="556">
        <v>2033</v>
      </c>
    </row>
    <row r="4" spans="2:14" ht="12.95" customHeight="1">
      <c r="B4" s="732" t="s">
        <v>40</v>
      </c>
      <c r="C4" s="733"/>
      <c r="D4" s="733"/>
      <c r="E4" s="16">
        <f>Assumptions!B68*(1-Assumptions!B72)</f>
        <v>4584844.857499999</v>
      </c>
      <c r="F4" s="16">
        <f>Assumptions!$B$68*(1+Assumptions!$B$69)</f>
        <v>9444780.4064499978</v>
      </c>
      <c r="G4" s="16">
        <f>F4*(1+Assumptions!$B$69)</f>
        <v>9728123.8186434973</v>
      </c>
      <c r="H4" s="16">
        <f>G4*(1+Assumptions!$B$69)</f>
        <v>10019967.533202803</v>
      </c>
      <c r="I4" s="16">
        <f>H4*(1+Assumptions!$B$69)</f>
        <v>10320566.559198888</v>
      </c>
      <c r="J4" s="16">
        <f>I4*(1+Assumptions!$B$69)</f>
        <v>10630183.555974854</v>
      </c>
      <c r="K4" s="16">
        <f>J4*(1+Assumptions!$B$69)</f>
        <v>10949089.0626541</v>
      </c>
      <c r="L4" s="16">
        <f>K4*(1+Assumptions!$B$69)</f>
        <v>11277561.734533723</v>
      </c>
      <c r="M4" s="16">
        <f>L4*(1+Assumptions!$B$69)</f>
        <v>11615888.586569736</v>
      </c>
      <c r="N4" s="557">
        <f>M4*(1+Assumptions!$B$69)</f>
        <v>11964365.244166829</v>
      </c>
    </row>
    <row r="5" spans="2:14">
      <c r="B5" s="725" t="s">
        <v>41</v>
      </c>
      <c r="C5" s="726"/>
      <c r="D5" s="726"/>
      <c r="E5" s="16">
        <v>0</v>
      </c>
      <c r="F5" s="16">
        <v>0</v>
      </c>
      <c r="G5" s="16">
        <v>0</v>
      </c>
      <c r="H5" s="16">
        <v>0</v>
      </c>
      <c r="I5" s="16">
        <v>0</v>
      </c>
      <c r="J5" s="16">
        <v>0</v>
      </c>
      <c r="K5" s="16">
        <v>0</v>
      </c>
      <c r="L5" s="16">
        <v>0</v>
      </c>
      <c r="M5" s="16">
        <v>0</v>
      </c>
      <c r="N5" s="557">
        <v>0</v>
      </c>
    </row>
    <row r="6" spans="2:14">
      <c r="B6" s="734" t="s">
        <v>42</v>
      </c>
      <c r="C6" s="735"/>
      <c r="D6" s="735"/>
      <c r="E6" s="16">
        <f>E4+E5</f>
        <v>4584844.857499999</v>
      </c>
      <c r="F6" s="16">
        <f t="shared" ref="F6:N6" si="0">F4+F5</f>
        <v>9444780.4064499978</v>
      </c>
      <c r="G6" s="16">
        <f t="shared" si="0"/>
        <v>9728123.8186434973</v>
      </c>
      <c r="H6" s="16">
        <f t="shared" si="0"/>
        <v>10019967.533202803</v>
      </c>
      <c r="I6" s="16">
        <f t="shared" si="0"/>
        <v>10320566.559198888</v>
      </c>
      <c r="J6" s="16">
        <f t="shared" si="0"/>
        <v>10630183.555974854</v>
      </c>
      <c r="K6" s="16">
        <f t="shared" si="0"/>
        <v>10949089.0626541</v>
      </c>
      <c r="L6" s="16">
        <f t="shared" si="0"/>
        <v>11277561.734533723</v>
      </c>
      <c r="M6" s="16">
        <f t="shared" si="0"/>
        <v>11615888.586569736</v>
      </c>
      <c r="N6" s="557">
        <f t="shared" si="0"/>
        <v>11964365.244166829</v>
      </c>
    </row>
    <row r="7" spans="2:14">
      <c r="B7" s="736" t="s">
        <v>543</v>
      </c>
      <c r="C7" s="737"/>
      <c r="D7" s="737"/>
      <c r="E7" s="16">
        <v>0</v>
      </c>
      <c r="F7" s="16">
        <f>E7*(1+Assumptions!$B$69)</f>
        <v>0</v>
      </c>
      <c r="G7" s="16">
        <f>F7*(1+Assumptions!$B$69)</f>
        <v>0</v>
      </c>
      <c r="H7" s="16">
        <f>G7*(1+Assumptions!$B$69)</f>
        <v>0</v>
      </c>
      <c r="I7" s="16">
        <f>H7*(1+Assumptions!$B$69)</f>
        <v>0</v>
      </c>
      <c r="J7" s="16">
        <f>I7*(1+Assumptions!$B$69)</f>
        <v>0</v>
      </c>
      <c r="K7" s="16">
        <f>J7*(1+Assumptions!$B$69)</f>
        <v>0</v>
      </c>
      <c r="L7" s="16">
        <f>K7*(1+Assumptions!$B$69)</f>
        <v>0</v>
      </c>
      <c r="M7" s="16">
        <f>L7*(1+Assumptions!$B$69)</f>
        <v>0</v>
      </c>
      <c r="N7" s="557">
        <f>M7*(1+Assumptions!$B$69)</f>
        <v>0</v>
      </c>
    </row>
    <row r="8" spans="2:14">
      <c r="B8" s="736" t="s">
        <v>44</v>
      </c>
      <c r="C8" s="737"/>
      <c r="D8" s="737"/>
      <c r="E8" s="16">
        <f>E6+E7</f>
        <v>4584844.857499999</v>
      </c>
      <c r="F8" s="16">
        <f t="shared" ref="F8:N8" si="1">F6+F7</f>
        <v>9444780.4064499978</v>
      </c>
      <c r="G8" s="16">
        <f t="shared" si="1"/>
        <v>9728123.8186434973</v>
      </c>
      <c r="H8" s="16">
        <f t="shared" si="1"/>
        <v>10019967.533202803</v>
      </c>
      <c r="I8" s="16">
        <f t="shared" si="1"/>
        <v>10320566.559198888</v>
      </c>
      <c r="J8" s="16">
        <f t="shared" si="1"/>
        <v>10630183.555974854</v>
      </c>
      <c r="K8" s="16">
        <f t="shared" si="1"/>
        <v>10949089.0626541</v>
      </c>
      <c r="L8" s="16">
        <f t="shared" si="1"/>
        <v>11277561.734533723</v>
      </c>
      <c r="M8" s="16">
        <f t="shared" si="1"/>
        <v>11615888.586569736</v>
      </c>
      <c r="N8" s="557">
        <f t="shared" si="1"/>
        <v>11964365.244166829</v>
      </c>
    </row>
    <row r="9" spans="2:14">
      <c r="B9" s="738" t="s">
        <v>45</v>
      </c>
      <c r="C9" s="739"/>
      <c r="D9" s="739"/>
      <c r="E9" s="1"/>
      <c r="F9" s="3"/>
      <c r="G9" s="4"/>
      <c r="H9" s="5"/>
      <c r="I9" s="5"/>
      <c r="J9" s="4"/>
      <c r="K9" s="5"/>
      <c r="L9" s="5"/>
      <c r="M9" s="5"/>
      <c r="N9" s="558"/>
    </row>
    <row r="10" spans="2:14">
      <c r="B10" s="725" t="s">
        <v>46</v>
      </c>
      <c r="C10" s="726"/>
      <c r="D10" s="726"/>
      <c r="E10" s="559"/>
      <c r="F10" s="560"/>
      <c r="G10" s="561"/>
      <c r="H10" s="562"/>
      <c r="I10" s="562"/>
      <c r="J10" s="561"/>
      <c r="K10" s="562"/>
      <c r="L10" s="562"/>
      <c r="M10" s="562"/>
      <c r="N10" s="563"/>
    </row>
    <row r="11" spans="2:14">
      <c r="B11" s="725" t="s">
        <v>544</v>
      </c>
      <c r="C11" s="726"/>
      <c r="D11" s="726"/>
      <c r="E11" s="16">
        <v>-208350</v>
      </c>
      <c r="F11" s="16">
        <v>-208350</v>
      </c>
      <c r="G11" s="16">
        <v>-208350</v>
      </c>
      <c r="H11" s="16">
        <v>-208350</v>
      </c>
      <c r="I11" s="16">
        <v>-208350</v>
      </c>
      <c r="J11" s="16">
        <v>-208350</v>
      </c>
      <c r="K11" s="16">
        <v>-208350</v>
      </c>
      <c r="L11" s="16">
        <v>-208350</v>
      </c>
      <c r="M11" s="16">
        <v>-208350</v>
      </c>
      <c r="N11" s="557">
        <v>-208350</v>
      </c>
    </row>
    <row r="12" spans="2:14">
      <c r="B12" s="725" t="s">
        <v>48</v>
      </c>
      <c r="C12" s="726"/>
      <c r="D12" s="726"/>
      <c r="E12" s="10">
        <f>-E6*Assumptions!$D$6</f>
        <v>-183393.79429999995</v>
      </c>
      <c r="F12" s="10">
        <f>-F6*Assumptions!$D$6</f>
        <v>-377791.21625799994</v>
      </c>
      <c r="G12" s="10">
        <f>-G6*Assumptions!$D$6</f>
        <v>-389124.95274573989</v>
      </c>
      <c r="H12" s="10">
        <f>-H6*Assumptions!$D$6</f>
        <v>-400798.7013281121</v>
      </c>
      <c r="I12" s="10">
        <f>-I6*Assumptions!$D$6</f>
        <v>-412822.66236795555</v>
      </c>
      <c r="J12" s="10">
        <f>-J6*Assumptions!$D$6</f>
        <v>-425207.3422389942</v>
      </c>
      <c r="K12" s="10">
        <f>-K6*Assumptions!$D$6</f>
        <v>-437963.56250616402</v>
      </c>
      <c r="L12" s="10">
        <f>-L6*Assumptions!$D$6</f>
        <v>-451102.46938134893</v>
      </c>
      <c r="M12" s="10">
        <f>-M6*Assumptions!$D$6</f>
        <v>-464635.54346278944</v>
      </c>
      <c r="N12" s="564">
        <f>-N6*Assumptions!$D$6</f>
        <v>-478574.60976667318</v>
      </c>
    </row>
    <row r="13" spans="2:14">
      <c r="B13" s="725" t="s">
        <v>49</v>
      </c>
      <c r="C13" s="726"/>
      <c r="D13" s="726"/>
      <c r="E13" s="10">
        <f>-$D$35*Assumptions!$D$10</f>
        <v>-183750</v>
      </c>
      <c r="F13" s="10">
        <f>-$D$35*Assumptions!$D$10</f>
        <v>-183750</v>
      </c>
      <c r="G13" s="10">
        <f>-$D$35*Assumptions!$D$10</f>
        <v>-183750</v>
      </c>
      <c r="H13" s="10">
        <f>-$D$35*Assumptions!$D$10</f>
        <v>-183750</v>
      </c>
      <c r="I13" s="10">
        <f>-$D$35*Assumptions!$D$10</f>
        <v>-183750</v>
      </c>
      <c r="J13" s="10">
        <f>-$D$35*Assumptions!$D$10</f>
        <v>-183750</v>
      </c>
      <c r="K13" s="10">
        <f>-$D$35*Assumptions!$D$10</f>
        <v>-183750</v>
      </c>
      <c r="L13" s="10">
        <f>-$D$35*Assumptions!$D$10</f>
        <v>-183750</v>
      </c>
      <c r="M13" s="10">
        <f>-$D$35*Assumptions!$D$10</f>
        <v>-183750</v>
      </c>
      <c r="N13" s="564">
        <f>-$D$35*Assumptions!$D$10</f>
        <v>-183750</v>
      </c>
    </row>
    <row r="14" spans="2:14">
      <c r="B14" s="725" t="s">
        <v>284</v>
      </c>
      <c r="C14" s="726"/>
      <c r="D14" s="726"/>
      <c r="E14" s="10">
        <f>-Assumptions!$B$75</f>
        <v>-1014466.0875000001</v>
      </c>
      <c r="F14" s="10">
        <f>-Assumptions!$B$75</f>
        <v>-1014466.0875000001</v>
      </c>
      <c r="G14" s="10">
        <f>-Assumptions!$B$75</f>
        <v>-1014466.0875000001</v>
      </c>
      <c r="H14" s="10">
        <f>-Assumptions!$B$75</f>
        <v>-1014466.0875000001</v>
      </c>
      <c r="I14" s="10">
        <f>-Assumptions!$B$75</f>
        <v>-1014466.0875000001</v>
      </c>
      <c r="J14" s="10">
        <f>-Assumptions!$B$75</f>
        <v>-1014466.0875000001</v>
      </c>
      <c r="K14" s="10">
        <f>-Assumptions!$B$75</f>
        <v>-1014466.0875000001</v>
      </c>
      <c r="L14" s="10">
        <f>-Assumptions!$B$75</f>
        <v>-1014466.0875000001</v>
      </c>
      <c r="M14" s="10">
        <f>-Assumptions!$B$75</f>
        <v>-1014466.0875000001</v>
      </c>
      <c r="N14" s="564">
        <f>-Assumptions!$B$75</f>
        <v>-1014466.0875000001</v>
      </c>
    </row>
    <row r="15" spans="2:14">
      <c r="B15" s="742" t="s">
        <v>51</v>
      </c>
      <c r="C15" s="743"/>
      <c r="D15" s="743"/>
      <c r="E15" s="12">
        <f>E12+E14+E11+E13</f>
        <v>-1589959.8818000001</v>
      </c>
      <c r="F15" s="12">
        <f t="shared" ref="F15:N15" si="2">F12+F14+F11+F13</f>
        <v>-1784357.303758</v>
      </c>
      <c r="G15" s="12">
        <f t="shared" si="2"/>
        <v>-1795691.04024574</v>
      </c>
      <c r="H15" s="12">
        <f t="shared" si="2"/>
        <v>-1807364.7888281122</v>
      </c>
      <c r="I15" s="12">
        <f t="shared" si="2"/>
        <v>-1819388.7498679557</v>
      </c>
      <c r="J15" s="12">
        <f t="shared" si="2"/>
        <v>-1831773.4297389942</v>
      </c>
      <c r="K15" s="12">
        <f t="shared" si="2"/>
        <v>-1844529.6500061641</v>
      </c>
      <c r="L15" s="12">
        <f t="shared" si="2"/>
        <v>-1857668.5568813491</v>
      </c>
      <c r="M15" s="12">
        <f t="shared" si="2"/>
        <v>-1871201.6309627895</v>
      </c>
      <c r="N15" s="565">
        <f t="shared" si="2"/>
        <v>-1885140.6972666732</v>
      </c>
    </row>
    <row r="16" spans="2:14">
      <c r="B16" s="652"/>
      <c r="C16" s="653"/>
      <c r="D16" s="653"/>
      <c r="E16" s="653"/>
      <c r="F16" s="653"/>
      <c r="G16" s="653"/>
      <c r="H16" s="653"/>
      <c r="I16" s="653"/>
      <c r="J16" s="653"/>
      <c r="K16" s="653"/>
      <c r="L16" s="653"/>
      <c r="M16" s="653"/>
      <c r="N16" s="654"/>
    </row>
    <row r="17" spans="2:15">
      <c r="B17" s="736" t="s">
        <v>52</v>
      </c>
      <c r="C17" s="737"/>
      <c r="D17" s="737"/>
      <c r="E17" s="16">
        <f>E8+E15</f>
        <v>2994884.9756999989</v>
      </c>
      <c r="F17" s="16">
        <f t="shared" ref="F17:N17" si="3">F8+F15</f>
        <v>7660423.1026919978</v>
      </c>
      <c r="G17" s="16">
        <f t="shared" si="3"/>
        <v>7932432.7783977576</v>
      </c>
      <c r="H17" s="16">
        <f t="shared" si="3"/>
        <v>8212602.7443746906</v>
      </c>
      <c r="I17" s="16">
        <f t="shared" si="3"/>
        <v>8501177.8093309328</v>
      </c>
      <c r="J17" s="16">
        <f t="shared" si="3"/>
        <v>8798410.1262358595</v>
      </c>
      <c r="K17" s="16">
        <f t="shared" si="3"/>
        <v>9104559.4126479365</v>
      </c>
      <c r="L17" s="16">
        <f t="shared" si="3"/>
        <v>9419893.1776523739</v>
      </c>
      <c r="M17" s="16">
        <f t="shared" si="3"/>
        <v>9744686.9556069467</v>
      </c>
      <c r="N17" s="557">
        <f t="shared" si="3"/>
        <v>10079224.546900155</v>
      </c>
    </row>
    <row r="18" spans="2:15">
      <c r="B18" s="470" t="s">
        <v>53</v>
      </c>
      <c r="E18" s="10">
        <f>-$F$35</f>
        <v>1501956.195207645</v>
      </c>
      <c r="F18" s="10">
        <f t="shared" ref="F18:N18" si="4">-$F$35</f>
        <v>1501956.195207645</v>
      </c>
      <c r="G18" s="10">
        <f t="shared" si="4"/>
        <v>1501956.195207645</v>
      </c>
      <c r="H18" s="10">
        <f t="shared" si="4"/>
        <v>1501956.195207645</v>
      </c>
      <c r="I18" s="10">
        <f t="shared" si="4"/>
        <v>1501956.195207645</v>
      </c>
      <c r="J18" s="10">
        <f t="shared" si="4"/>
        <v>1501956.195207645</v>
      </c>
      <c r="K18" s="10">
        <f t="shared" si="4"/>
        <v>1501956.195207645</v>
      </c>
      <c r="L18" s="10">
        <f t="shared" si="4"/>
        <v>1501956.195207645</v>
      </c>
      <c r="M18" s="10">
        <f t="shared" si="4"/>
        <v>1501956.195207645</v>
      </c>
      <c r="N18" s="564">
        <f t="shared" si="4"/>
        <v>1501956.195207645</v>
      </c>
    </row>
    <row r="19" spans="2:15">
      <c r="B19" s="470" t="s">
        <v>523</v>
      </c>
      <c r="E19" s="10">
        <f>-$D$35/Assumptions!$D$7</f>
        <v>-188461.53846153847</v>
      </c>
      <c r="F19" s="10">
        <f>-$D$35/Assumptions!$D$7</f>
        <v>-188461.53846153847</v>
      </c>
      <c r="G19" s="10">
        <f>-$D$35/Assumptions!$D$7</f>
        <v>-188461.53846153847</v>
      </c>
      <c r="H19" s="10">
        <f>-$D$35/Assumptions!$D$7</f>
        <v>-188461.53846153847</v>
      </c>
      <c r="I19" s="10">
        <f>-$D$35/Assumptions!$D$7</f>
        <v>-188461.53846153847</v>
      </c>
      <c r="J19" s="10">
        <f>-$D$35/Assumptions!$D$7</f>
        <v>-188461.53846153847</v>
      </c>
      <c r="K19" s="10">
        <f>-$D$35/Assumptions!$D$7</f>
        <v>-188461.53846153847</v>
      </c>
      <c r="L19" s="10">
        <f>-$D$35/Assumptions!$D$7</f>
        <v>-188461.53846153847</v>
      </c>
      <c r="M19" s="10">
        <f>-$D$35/Assumptions!$D$7</f>
        <v>-188461.53846153847</v>
      </c>
      <c r="N19" s="564">
        <f>-$D$35/Assumptions!$D$7</f>
        <v>-188461.53846153847</v>
      </c>
    </row>
    <row r="20" spans="2:15">
      <c r="B20" s="470" t="s">
        <v>545</v>
      </c>
      <c r="E20" s="10">
        <f>-C35/Assumptions!D8</f>
        <v>0</v>
      </c>
      <c r="F20" s="10"/>
      <c r="G20" s="10"/>
      <c r="H20" s="10"/>
      <c r="I20" s="10"/>
      <c r="J20" s="10"/>
      <c r="K20" s="10"/>
      <c r="L20" s="10"/>
      <c r="M20" s="10"/>
      <c r="N20" s="564"/>
    </row>
    <row r="21" spans="2:15">
      <c r="B21" s="470" t="s">
        <v>56</v>
      </c>
      <c r="E21" s="10">
        <f>E17+E18+E19+E20</f>
        <v>4308379.6324461056</v>
      </c>
      <c r="F21" s="10">
        <f t="shared" ref="F21:N21" si="5">F17+F18+F19+F20</f>
        <v>8973917.7594381049</v>
      </c>
      <c r="G21" s="10">
        <f t="shared" si="5"/>
        <v>9245927.4351438638</v>
      </c>
      <c r="H21" s="10">
        <f t="shared" si="5"/>
        <v>9526097.4011207968</v>
      </c>
      <c r="I21" s="10">
        <f t="shared" si="5"/>
        <v>9814672.466077039</v>
      </c>
      <c r="J21" s="10">
        <f t="shared" si="5"/>
        <v>10111904.782981966</v>
      </c>
      <c r="K21" s="10">
        <f t="shared" si="5"/>
        <v>10418054.069394043</v>
      </c>
      <c r="L21" s="10">
        <f t="shared" si="5"/>
        <v>10733387.83439848</v>
      </c>
      <c r="M21" s="10">
        <f t="shared" si="5"/>
        <v>11058181.612353053</v>
      </c>
      <c r="N21" s="564">
        <f t="shared" si="5"/>
        <v>11392719.203646261</v>
      </c>
    </row>
    <row r="22" spans="2:15">
      <c r="B22" s="469" t="s">
        <v>310</v>
      </c>
      <c r="E22" s="10">
        <v>475910</v>
      </c>
      <c r="F22" s="10">
        <v>353744</v>
      </c>
      <c r="G22" s="10">
        <v>465436</v>
      </c>
      <c r="H22" s="10">
        <v>334030</v>
      </c>
      <c r="I22" s="10">
        <v>84688</v>
      </c>
      <c r="J22" s="10">
        <v>197482</v>
      </c>
      <c r="K22" s="10">
        <v>135352</v>
      </c>
      <c r="L22" s="10">
        <v>0</v>
      </c>
      <c r="M22" s="10">
        <v>370890</v>
      </c>
      <c r="N22" s="564">
        <v>503836</v>
      </c>
      <c r="O22" s="70"/>
    </row>
    <row r="23" spans="2:15">
      <c r="B23" s="470" t="s">
        <v>58</v>
      </c>
      <c r="E23" s="10">
        <f>E21*0.3</f>
        <v>1292513.8897338316</v>
      </c>
      <c r="F23" s="10">
        <f t="shared" ref="F23:N23" si="6">F21*0.3</f>
        <v>2692175.3278314313</v>
      </c>
      <c r="G23" s="10">
        <f t="shared" si="6"/>
        <v>2773778.2305431589</v>
      </c>
      <c r="H23" s="10">
        <f t="shared" si="6"/>
        <v>2857829.2203362389</v>
      </c>
      <c r="I23" s="10">
        <f t="shared" si="6"/>
        <v>2944401.7398231118</v>
      </c>
      <c r="J23" s="10">
        <f t="shared" si="6"/>
        <v>3033571.4348945897</v>
      </c>
      <c r="K23" s="10">
        <f t="shared" si="6"/>
        <v>3125416.2208182127</v>
      </c>
      <c r="L23" s="10">
        <f t="shared" si="6"/>
        <v>3220016.3503195439</v>
      </c>
      <c r="M23" s="10">
        <f t="shared" si="6"/>
        <v>3317454.483705916</v>
      </c>
      <c r="N23" s="564">
        <f t="shared" si="6"/>
        <v>3417815.7610938782</v>
      </c>
    </row>
    <row r="24" spans="2:15">
      <c r="B24" s="470" t="s">
        <v>59</v>
      </c>
      <c r="E24" s="10">
        <f>E17-E23</f>
        <v>1702371.0859661673</v>
      </c>
      <c r="F24" s="10">
        <f t="shared" ref="F24:N24" si="7">F17-F23</f>
        <v>4968247.7748605665</v>
      </c>
      <c r="G24" s="10">
        <f t="shared" si="7"/>
        <v>5158654.5478545986</v>
      </c>
      <c r="H24" s="10">
        <f t="shared" si="7"/>
        <v>5354773.5240384517</v>
      </c>
      <c r="I24" s="10">
        <f t="shared" si="7"/>
        <v>5556776.0695078205</v>
      </c>
      <c r="J24" s="10">
        <f t="shared" si="7"/>
        <v>5764838.6913412698</v>
      </c>
      <c r="K24" s="10">
        <f t="shared" si="7"/>
        <v>5979143.1918297242</v>
      </c>
      <c r="L24" s="10">
        <f t="shared" si="7"/>
        <v>6199876.8273328301</v>
      </c>
      <c r="M24" s="10">
        <f t="shared" si="7"/>
        <v>6427232.4719010312</v>
      </c>
      <c r="N24" s="564">
        <f t="shared" si="7"/>
        <v>6661408.7858062768</v>
      </c>
    </row>
    <row r="25" spans="2:15">
      <c r="B25" s="470" t="s">
        <v>502</v>
      </c>
      <c r="E25" s="10">
        <f>$F$34</f>
        <v>-1501956.195207645</v>
      </c>
      <c r="F25" s="10">
        <f t="shared" ref="F25:N25" si="8">$F$34</f>
        <v>-1501956.195207645</v>
      </c>
      <c r="G25" s="10">
        <f t="shared" si="8"/>
        <v>-1501956.195207645</v>
      </c>
      <c r="H25" s="10">
        <f t="shared" si="8"/>
        <v>-1501956.195207645</v>
      </c>
      <c r="I25" s="10">
        <f t="shared" si="8"/>
        <v>-1501956.195207645</v>
      </c>
      <c r="J25" s="10">
        <f t="shared" si="8"/>
        <v>-1501956.195207645</v>
      </c>
      <c r="K25" s="10">
        <f t="shared" si="8"/>
        <v>-1501956.195207645</v>
      </c>
      <c r="L25" s="10">
        <f t="shared" si="8"/>
        <v>-1501956.195207645</v>
      </c>
      <c r="M25" s="10">
        <f t="shared" si="8"/>
        <v>-1501956.195207645</v>
      </c>
      <c r="N25" s="564">
        <f t="shared" si="8"/>
        <v>-1501956.195207645</v>
      </c>
    </row>
    <row r="26" spans="2:15">
      <c r="B26" s="470" t="s">
        <v>62</v>
      </c>
      <c r="E26" s="446">
        <f>E24/E25</f>
        <v>-1.1334359093813751</v>
      </c>
      <c r="F26" s="446">
        <f t="shared" ref="F26:N26" si="9">F24/F25</f>
        <v>-3.3078513146475008</v>
      </c>
      <c r="G26" s="446">
        <f t="shared" si="9"/>
        <v>-3.434623835445092</v>
      </c>
      <c r="H26" s="446">
        <f t="shared" si="9"/>
        <v>-3.565199531866611</v>
      </c>
      <c r="I26" s="446">
        <f t="shared" si="9"/>
        <v>-3.6996924991807756</v>
      </c>
      <c r="J26" s="446">
        <f t="shared" si="9"/>
        <v>-3.8382202555143645</v>
      </c>
      <c r="K26" s="446">
        <f t="shared" si="9"/>
        <v>-3.9809038445379623</v>
      </c>
      <c r="L26" s="446">
        <f t="shared" si="9"/>
        <v>-4.1278679412322665</v>
      </c>
      <c r="M26" s="446">
        <f t="shared" si="9"/>
        <v>-4.2792409608274014</v>
      </c>
      <c r="N26" s="566">
        <f t="shared" si="9"/>
        <v>-4.4351551710103898</v>
      </c>
    </row>
    <row r="27" spans="2:15">
      <c r="B27" s="469" t="s">
        <v>503</v>
      </c>
      <c r="E27" s="446"/>
      <c r="F27" s="446"/>
      <c r="G27" s="446"/>
      <c r="H27" s="446"/>
      <c r="I27" s="446"/>
      <c r="J27" s="446"/>
      <c r="K27" s="446"/>
      <c r="L27" s="446"/>
      <c r="M27" s="446"/>
      <c r="N27" s="566"/>
    </row>
    <row r="28" spans="2:15">
      <c r="B28" s="469" t="s">
        <v>504</v>
      </c>
      <c r="E28" s="16">
        <f>SUM(E17,E13,E27)</f>
        <v>2811134.9756999989</v>
      </c>
      <c r="F28" s="16">
        <f t="shared" ref="F28:N28" si="10">SUM(F17,F13,F27)</f>
        <v>7476673.1026919978</v>
      </c>
      <c r="G28" s="16">
        <f t="shared" si="10"/>
        <v>7748682.7783977576</v>
      </c>
      <c r="H28" s="16">
        <f t="shared" si="10"/>
        <v>8028852.7443746906</v>
      </c>
      <c r="I28" s="16">
        <f t="shared" si="10"/>
        <v>8317427.8093309328</v>
      </c>
      <c r="J28" s="16">
        <f t="shared" si="10"/>
        <v>8614660.1262358595</v>
      </c>
      <c r="K28" s="16">
        <f t="shared" si="10"/>
        <v>8920809.4126479365</v>
      </c>
      <c r="L28" s="16">
        <f t="shared" si="10"/>
        <v>9236143.1776523739</v>
      </c>
      <c r="M28" s="16">
        <f t="shared" si="10"/>
        <v>9560936.9556069467</v>
      </c>
      <c r="N28" s="557">
        <f t="shared" si="10"/>
        <v>9895474.546900155</v>
      </c>
    </row>
    <row r="29" spans="2:15" ht="14.1" thickBot="1">
      <c r="B29" s="567" t="s">
        <v>63</v>
      </c>
      <c r="C29" s="20"/>
      <c r="D29" s="20"/>
      <c r="E29" s="21">
        <f>((E26-1))*E25</f>
        <v>3204327.2811738122</v>
      </c>
      <c r="F29" s="21">
        <f t="shared" ref="F29:N29" si="11">((F26-1))*F25</f>
        <v>6470203.9700682107</v>
      </c>
      <c r="G29" s="21">
        <f t="shared" si="11"/>
        <v>6660610.7430622438</v>
      </c>
      <c r="H29" s="21">
        <f t="shared" si="11"/>
        <v>6856729.7192460969</v>
      </c>
      <c r="I29" s="21">
        <f t="shared" si="11"/>
        <v>7058732.2647154657</v>
      </c>
      <c r="J29" s="21">
        <f t="shared" si="11"/>
        <v>7266794.8865489149</v>
      </c>
      <c r="K29" s="21">
        <f t="shared" si="11"/>
        <v>7481099.3870373694</v>
      </c>
      <c r="L29" s="21">
        <f t="shared" si="11"/>
        <v>7701833.0225404743</v>
      </c>
      <c r="M29" s="21">
        <f t="shared" si="11"/>
        <v>7929188.6671086755</v>
      </c>
      <c r="N29" s="568">
        <f t="shared" si="11"/>
        <v>8163364.981013922</v>
      </c>
    </row>
    <row r="31" spans="2:15">
      <c r="B31" t="s">
        <v>505</v>
      </c>
      <c r="C31" s="105">
        <v>7.0000000000000007E-2</v>
      </c>
    </row>
    <row r="32" spans="2:15">
      <c r="B32" t="s">
        <v>7</v>
      </c>
      <c r="C32" s="16">
        <f>N17/C31</f>
        <v>143988922.09857363</v>
      </c>
      <c r="D32" s="7"/>
      <c r="E32" t="s">
        <v>489</v>
      </c>
      <c r="F32" s="16">
        <f>D35-TIF!F3</f>
        <v>-33376804.337947667</v>
      </c>
    </row>
    <row r="33" spans="2:6">
      <c r="C33" s="16"/>
      <c r="E33" s="70" t="s">
        <v>507</v>
      </c>
      <c r="F33" s="16">
        <f>(F32*Assumptions!D17)/12</f>
        <v>-125163.01626730374</v>
      </c>
    </row>
    <row r="34" spans="2:6">
      <c r="B34" t="s">
        <v>551</v>
      </c>
      <c r="C34" s="16">
        <f>Assumptions!F58</f>
        <v>1180000000</v>
      </c>
      <c r="E34" s="70" t="s">
        <v>509</v>
      </c>
      <c r="F34" s="16">
        <f>F33*12</f>
        <v>-1501956.195207645</v>
      </c>
    </row>
    <row r="35" spans="2:6">
      <c r="B35" t="s">
        <v>552</v>
      </c>
      <c r="C35" s="16">
        <f>Assumptions!F59</f>
        <v>0</v>
      </c>
      <c r="D35" s="65">
        <v>7350000</v>
      </c>
      <c r="E35" t="s">
        <v>511</v>
      </c>
      <c r="F35" s="16">
        <f>F34</f>
        <v>-1501956.195207645</v>
      </c>
    </row>
    <row r="36" spans="2:6">
      <c r="B36" t="s">
        <v>516</v>
      </c>
      <c r="C36" s="16">
        <f>C34*0.8</f>
        <v>944000000</v>
      </c>
      <c r="F36" s="6"/>
    </row>
    <row r="37" spans="2:6">
      <c r="B37" s="70" t="s">
        <v>517</v>
      </c>
      <c r="C37" s="16">
        <f>C36*Assumptions!D4</f>
        <v>132160000.00000001</v>
      </c>
      <c r="E37" s="70" t="s">
        <v>504</v>
      </c>
    </row>
    <row r="38" spans="2:6">
      <c r="B38" t="s">
        <v>577</v>
      </c>
      <c r="C38" s="14">
        <v>3.3780449999999997E-2</v>
      </c>
    </row>
    <row r="40" spans="2:6">
      <c r="B40" t="s">
        <v>553</v>
      </c>
      <c r="C40" s="15">
        <f>C37*C38</f>
        <v>4464424.2719999999</v>
      </c>
    </row>
    <row r="41" spans="2:6">
      <c r="B41" t="s">
        <v>554</v>
      </c>
      <c r="C41" s="15">
        <f>C40</f>
        <v>4464424.2719999999</v>
      </c>
    </row>
  </sheetData>
  <mergeCells count="16">
    <mergeCell ref="B14:D14"/>
    <mergeCell ref="B15:D15"/>
    <mergeCell ref="B16:N16"/>
    <mergeCell ref="B17:D17"/>
    <mergeCell ref="B8:D8"/>
    <mergeCell ref="B9:D9"/>
    <mergeCell ref="B10:D10"/>
    <mergeCell ref="B11:D11"/>
    <mergeCell ref="B12:D12"/>
    <mergeCell ref="B13:D13"/>
    <mergeCell ref="B7:D7"/>
    <mergeCell ref="B2:N2"/>
    <mergeCell ref="B3:D3"/>
    <mergeCell ref="B4:D4"/>
    <mergeCell ref="B5:D5"/>
    <mergeCell ref="B6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913E8-DBC7-4353-9D1C-A47D7C8A19BF}">
  <sheetPr>
    <tabColor theme="6" tint="0.79998168889431442"/>
  </sheetPr>
  <dimension ref="B1:N42"/>
  <sheetViews>
    <sheetView topLeftCell="A15" zoomScaleNormal="100" workbookViewId="0">
      <selection activeCell="G40" sqref="G40"/>
    </sheetView>
  </sheetViews>
  <sheetFormatPr defaultColWidth="9.33203125" defaultRowHeight="15"/>
  <cols>
    <col min="1" max="1" width="9.33203125" style="23"/>
    <col min="2" max="2" width="23.1640625" style="23" customWidth="1"/>
    <col min="3" max="3" width="21.33203125" style="23" bestFit="1" customWidth="1"/>
    <col min="4" max="4" width="5" style="23" customWidth="1"/>
    <col min="5" max="5" width="20.6640625" style="23" bestFit="1" customWidth="1"/>
    <col min="6" max="6" width="19.33203125" style="23" customWidth="1"/>
    <col min="7" max="7" width="18.1640625" style="23" customWidth="1"/>
    <col min="8" max="8" width="35.6640625" style="23" customWidth="1"/>
    <col min="9" max="9" width="23" style="23" customWidth="1"/>
    <col min="10" max="10" width="18" style="23" customWidth="1"/>
    <col min="11" max="11" width="21.33203125" style="23" customWidth="1"/>
    <col min="12" max="12" width="9.6640625" style="23" customWidth="1"/>
    <col min="13" max="13" width="33" style="23" bestFit="1" customWidth="1"/>
    <col min="14" max="14" width="23.33203125" style="23" bestFit="1" customWidth="1"/>
    <col min="15" max="15" width="22" style="23" bestFit="1" customWidth="1"/>
    <col min="16" max="16" width="14.6640625" style="23" bestFit="1" customWidth="1"/>
    <col min="17" max="16384" width="9.33203125" style="23"/>
  </cols>
  <sheetData>
    <row r="1" spans="2:14" ht="15.95" thickBot="1"/>
    <row r="2" spans="2:14" ht="18.95">
      <c r="B2" s="655" t="s">
        <v>95</v>
      </c>
      <c r="C2" s="656"/>
      <c r="D2" s="656"/>
      <c r="E2" s="161" t="s">
        <v>37</v>
      </c>
      <c r="G2" s="45"/>
      <c r="H2" s="637" t="s">
        <v>96</v>
      </c>
      <c r="I2" s="638"/>
      <c r="J2" s="638"/>
      <c r="K2" s="639"/>
    </row>
    <row r="3" spans="2:14">
      <c r="B3" s="41"/>
      <c r="E3" s="42"/>
      <c r="H3" s="47" t="s">
        <v>97</v>
      </c>
      <c r="I3" s="48"/>
      <c r="J3" s="544" t="s">
        <v>98</v>
      </c>
      <c r="K3" s="49"/>
    </row>
    <row r="4" spans="2:14">
      <c r="B4" s="41" t="s">
        <v>99</v>
      </c>
      <c r="E4" s="629">
        <v>3000000</v>
      </c>
      <c r="H4" s="50" t="s">
        <v>100</v>
      </c>
      <c r="I4" s="630">
        <f>(E29-TIF!F3)*Assumptions!D16</f>
        <v>212858345.09943664</v>
      </c>
      <c r="J4" s="545" t="s">
        <v>101</v>
      </c>
      <c r="K4" s="629">
        <f>E10</f>
        <v>287878936</v>
      </c>
    </row>
    <row r="5" spans="2:14">
      <c r="B5" s="41" t="s">
        <v>102</v>
      </c>
      <c r="C5" s="84" t="s">
        <v>103</v>
      </c>
      <c r="E5" s="629">
        <f>E38</f>
        <v>8372224</v>
      </c>
      <c r="F5" s="103"/>
      <c r="H5" s="50" t="s">
        <v>104</v>
      </c>
      <c r="I5" s="630">
        <f>MIN(TIF!F3,E7)</f>
        <v>7577212</v>
      </c>
      <c r="J5" s="545" t="s">
        <v>105</v>
      </c>
      <c r="K5" s="629">
        <f>E27</f>
        <v>56931218.479999997</v>
      </c>
    </row>
    <row r="6" spans="2:14">
      <c r="B6" s="41" t="s">
        <v>106</v>
      </c>
      <c r="E6" s="629">
        <v>2000000</v>
      </c>
      <c r="H6" s="50" t="s">
        <v>15</v>
      </c>
      <c r="I6" s="630">
        <f>E29-(I4+I5)</f>
        <v>124374597.38056338</v>
      </c>
      <c r="J6" s="48"/>
      <c r="K6" s="629"/>
    </row>
    <row r="7" spans="2:14" ht="15.95" thickBot="1">
      <c r="B7" s="80" t="s">
        <v>19</v>
      </c>
      <c r="E7" s="629">
        <f>Assumptions!B70</f>
        <v>7577212</v>
      </c>
      <c r="H7" s="51" t="s">
        <v>107</v>
      </c>
      <c r="I7" s="631">
        <f>E29</f>
        <v>344810154.48000002</v>
      </c>
      <c r="J7" s="52" t="s">
        <v>108</v>
      </c>
      <c r="K7" s="632">
        <f ca="1">SUM(K4:K7)</f>
        <v>163772161.66999999</v>
      </c>
    </row>
    <row r="8" spans="2:14">
      <c r="B8" s="80" t="s">
        <v>109</v>
      </c>
      <c r="E8" s="629">
        <f>Assumptions!D11*Assumptions!B5+Assumptions!D13</f>
        <v>223097500</v>
      </c>
    </row>
    <row r="9" spans="2:14" ht="15.95" thickBot="1">
      <c r="B9" s="41" t="s">
        <v>110</v>
      </c>
      <c r="E9" s="629">
        <f>(Assumptions!B26*Assumptions!B24)+(Assumptions!B38*Assumptions!B36)+(Assumptions!B50*Assumptions!B48)+(Assumptions!B71)+(Assumptions!B13*Assumptions!B10)</f>
        <v>43832000</v>
      </c>
      <c r="J9" s="46"/>
    </row>
    <row r="10" spans="2:14" ht="17.100000000000001" thickBot="1">
      <c r="B10" s="548" t="s">
        <v>111</v>
      </c>
      <c r="C10" s="100"/>
      <c r="D10" s="100"/>
      <c r="E10" s="633">
        <f>SUM(E4:E9)</f>
        <v>287878936</v>
      </c>
      <c r="H10" s="637" t="s">
        <v>112</v>
      </c>
      <c r="I10" s="638"/>
      <c r="J10" s="638"/>
      <c r="N10" s="61"/>
    </row>
    <row r="11" spans="2:14" ht="15.95" thickBot="1">
      <c r="H11" s="80" t="s">
        <v>8</v>
      </c>
      <c r="I11" s="61">
        <f>I4</f>
        <v>212858345.09943664</v>
      </c>
      <c r="J11" s="634">
        <f>I11/$I$15</f>
        <v>0.61732040757454854</v>
      </c>
    </row>
    <row r="12" spans="2:14" ht="18.95">
      <c r="B12" s="655" t="s">
        <v>113</v>
      </c>
      <c r="C12" s="656"/>
      <c r="D12" s="656"/>
      <c r="E12" s="161" t="s">
        <v>37</v>
      </c>
      <c r="H12" s="80" t="s">
        <v>114</v>
      </c>
      <c r="I12" s="61">
        <f>I5</f>
        <v>7577212</v>
      </c>
      <c r="J12" s="634">
        <f>I12/$I$15</f>
        <v>2.197502568167406E-2</v>
      </c>
    </row>
    <row r="13" spans="2:14">
      <c r="B13" s="41"/>
      <c r="E13" s="42"/>
      <c r="H13" s="80" t="s">
        <v>115</v>
      </c>
      <c r="I13" s="61">
        <v>5000000</v>
      </c>
      <c r="J13" s="634">
        <f>I13/$I$15</f>
        <v>1.4500733041172702E-2</v>
      </c>
    </row>
    <row r="14" spans="2:14" ht="15.95" thickBot="1">
      <c r="B14" s="41" t="s">
        <v>116</v>
      </c>
      <c r="E14" s="629">
        <f>15%*E10</f>
        <v>43181840.399999999</v>
      </c>
      <c r="H14" s="80" t="s">
        <v>117</v>
      </c>
      <c r="I14" s="61">
        <f>I15-I13-I12-I11</f>
        <v>119374597.38056338</v>
      </c>
      <c r="J14" s="634">
        <f>I14/$I$15</f>
        <v>0.34620383370260477</v>
      </c>
    </row>
    <row r="15" spans="2:14" ht="15.95" thickBot="1">
      <c r="B15" s="41" t="s">
        <v>118</v>
      </c>
      <c r="E15" s="635" t="s">
        <v>119</v>
      </c>
      <c r="F15" s="84" t="s">
        <v>120</v>
      </c>
      <c r="H15" s="81" t="s">
        <v>111</v>
      </c>
      <c r="I15" s="82">
        <f>I7</f>
        <v>344810154.48000002</v>
      </c>
      <c r="J15" s="547">
        <f>SUM(J11:J14)</f>
        <v>1</v>
      </c>
    </row>
    <row r="16" spans="2:14">
      <c r="B16" s="41" t="s">
        <v>121</v>
      </c>
      <c r="E16" s="629">
        <v>50000</v>
      </c>
    </row>
    <row r="17" spans="2:12" ht="15.95" thickBot="1">
      <c r="B17" s="41" t="s">
        <v>122</v>
      </c>
      <c r="E17" s="635"/>
    </row>
    <row r="18" spans="2:12">
      <c r="B18" s="41"/>
      <c r="C18" s="23" t="s">
        <v>123</v>
      </c>
      <c r="E18" s="629">
        <v>25000</v>
      </c>
      <c r="H18" s="637" t="s">
        <v>124</v>
      </c>
      <c r="I18" s="638"/>
      <c r="J18" s="638"/>
    </row>
    <row r="19" spans="2:12">
      <c r="B19" s="41"/>
      <c r="C19" s="23" t="s">
        <v>125</v>
      </c>
      <c r="E19" s="629">
        <v>25000</v>
      </c>
      <c r="H19" s="80" t="s">
        <v>126</v>
      </c>
      <c r="I19" s="61">
        <v>5000000</v>
      </c>
      <c r="J19" s="619">
        <f>I19/$I$23</f>
        <v>4.0201135161876504E-2</v>
      </c>
    </row>
    <row r="20" spans="2:12">
      <c r="B20" s="41"/>
      <c r="C20" s="23" t="s">
        <v>127</v>
      </c>
      <c r="E20" s="42"/>
      <c r="H20" s="80" t="s">
        <v>128</v>
      </c>
      <c r="I20" s="61">
        <v>1000000</v>
      </c>
      <c r="J20" s="619">
        <f>I20/$I$23</f>
        <v>8.0402270323753008E-3</v>
      </c>
    </row>
    <row r="21" spans="2:12">
      <c r="B21" s="41" t="s">
        <v>129</v>
      </c>
      <c r="E21" s="42"/>
      <c r="H21" s="80" t="s">
        <v>130</v>
      </c>
      <c r="I21" s="61">
        <v>2000000</v>
      </c>
      <c r="J21" s="619">
        <f>I21/$I$23</f>
        <v>1.6080454064750602E-2</v>
      </c>
    </row>
    <row r="22" spans="2:12" ht="15.95" thickBot="1">
      <c r="B22" s="41" t="s">
        <v>131</v>
      </c>
      <c r="C22" s="23" t="s">
        <v>132</v>
      </c>
      <c r="E22" s="185">
        <f>(G29*0.03)*0.0015</f>
        <v>4005</v>
      </c>
      <c r="H22" s="80" t="s">
        <v>133</v>
      </c>
      <c r="I22" s="61">
        <f>I23-I20-I19-I21</f>
        <v>116374597.38056338</v>
      </c>
      <c r="J22" s="636">
        <f>I22/$I$23</f>
        <v>0.93567818374099754</v>
      </c>
    </row>
    <row r="23" spans="2:12" ht="15.95" thickBot="1">
      <c r="B23" s="41" t="s">
        <v>134</v>
      </c>
      <c r="C23" s="23" t="s">
        <v>135</v>
      </c>
      <c r="E23" s="62">
        <f>G29*Assumptions!D17</f>
        <v>4005000</v>
      </c>
      <c r="H23" s="81" t="s">
        <v>37</v>
      </c>
      <c r="I23" s="82">
        <f>I6</f>
        <v>124374597.38056338</v>
      </c>
      <c r="J23" s="83">
        <f>I23/$I$23</f>
        <v>1</v>
      </c>
    </row>
    <row r="24" spans="2:12">
      <c r="B24" s="41" t="s">
        <v>131</v>
      </c>
      <c r="C24" s="23" t="s">
        <v>136</v>
      </c>
      <c r="E24" s="185">
        <f>E22</f>
        <v>4005</v>
      </c>
    </row>
    <row r="25" spans="2:12" ht="15.95" thickBot="1">
      <c r="B25" s="41" t="s">
        <v>137</v>
      </c>
      <c r="E25" s="158">
        <f>E10*0.03</f>
        <v>8636368.0800000001</v>
      </c>
      <c r="F25" s="84" t="s">
        <v>138</v>
      </c>
    </row>
    <row r="26" spans="2:12" ht="18.95">
      <c r="B26" s="41" t="s">
        <v>139</v>
      </c>
      <c r="E26" s="629">
        <v>1000000</v>
      </c>
      <c r="F26" s="23">
        <f>3%</f>
        <v>0.03</v>
      </c>
      <c r="H26" s="655" t="s">
        <v>140</v>
      </c>
      <c r="I26" s="656"/>
      <c r="J26" s="656"/>
      <c r="K26" s="161" t="s">
        <v>141</v>
      </c>
    </row>
    <row r="27" spans="2:12" ht="15.95">
      <c r="B27" s="98" t="s">
        <v>142</v>
      </c>
      <c r="C27" s="45"/>
      <c r="E27" s="62">
        <f>SUM(E14:E26)</f>
        <v>56931218.479999997</v>
      </c>
      <c r="H27" s="412" t="s">
        <v>143</v>
      </c>
      <c r="K27" s="42"/>
      <c r="L27" s="69"/>
    </row>
    <row r="28" spans="2:12" ht="15.95" thickBot="1">
      <c r="B28" s="124" t="s">
        <v>144</v>
      </c>
      <c r="C28" s="86"/>
      <c r="D28" s="86"/>
      <c r="E28" s="532">
        <f>1%*E27</f>
        <v>569312.18479999993</v>
      </c>
      <c r="H28" s="413" t="s">
        <v>145</v>
      </c>
      <c r="I28" s="103"/>
      <c r="K28" s="629">
        <v>1500000</v>
      </c>
      <c r="L28" s="69"/>
    </row>
    <row r="29" spans="2:12" ht="20.100000000000001" thickBot="1">
      <c r="B29" s="99" t="s">
        <v>146</v>
      </c>
      <c r="C29" s="100"/>
      <c r="D29" s="100"/>
      <c r="E29" s="533">
        <f>E27+E10</f>
        <v>344810154.48000002</v>
      </c>
      <c r="G29" s="104" t="s">
        <v>147</v>
      </c>
      <c r="H29" s="413" t="s">
        <v>148</v>
      </c>
      <c r="I29" s="416" t="s">
        <v>149</v>
      </c>
      <c r="J29" s="84"/>
      <c r="K29" s="629">
        <v>521000000</v>
      </c>
    </row>
    <row r="30" spans="2:12" ht="15.95" thickBot="1">
      <c r="H30" s="413" t="s">
        <v>150</v>
      </c>
      <c r="J30" s="84"/>
      <c r="K30" s="629">
        <v>548300000</v>
      </c>
    </row>
    <row r="31" spans="2:12" ht="18.95">
      <c r="B31" s="159" t="s">
        <v>151</v>
      </c>
      <c r="C31" s="160"/>
      <c r="D31" s="160"/>
      <c r="E31" s="161" t="s">
        <v>37</v>
      </c>
      <c r="H31" s="413" t="s">
        <v>152</v>
      </c>
      <c r="J31" s="84"/>
      <c r="K31" s="629">
        <v>57000000</v>
      </c>
    </row>
    <row r="32" spans="2:12">
      <c r="B32" s="41"/>
      <c r="E32" s="42"/>
      <c r="H32" s="413" t="s">
        <v>153</v>
      </c>
      <c r="J32" s="84"/>
      <c r="K32" s="629">
        <v>23125000</v>
      </c>
    </row>
    <row r="33" spans="2:12">
      <c r="B33" s="80" t="s">
        <v>154</v>
      </c>
      <c r="C33" s="103">
        <v>8</v>
      </c>
      <c r="E33" s="42"/>
      <c r="H33" s="413" t="s">
        <v>155</v>
      </c>
      <c r="K33" s="629">
        <v>13950000</v>
      </c>
    </row>
    <row r="34" spans="2:12">
      <c r="B34" s="80" t="s">
        <v>156</v>
      </c>
      <c r="E34" s="42"/>
      <c r="H34" s="414" t="s">
        <v>157</v>
      </c>
      <c r="K34" s="185">
        <v>182000000</v>
      </c>
      <c r="L34" s="84" t="s">
        <v>158</v>
      </c>
    </row>
    <row r="35" spans="2:12">
      <c r="B35" s="41">
        <v>1</v>
      </c>
      <c r="C35" s="23">
        <f>SUM(Infra!E20:H20)</f>
        <v>658906</v>
      </c>
      <c r="D35" s="84" t="s">
        <v>159</v>
      </c>
      <c r="E35" s="629">
        <f>C33*C35</f>
        <v>5271248</v>
      </c>
      <c r="H35" s="414" t="s">
        <v>160</v>
      </c>
      <c r="K35" s="62">
        <v>37000000</v>
      </c>
      <c r="L35" s="84" t="s">
        <v>158</v>
      </c>
    </row>
    <row r="36" spans="2:12">
      <c r="B36" s="41">
        <v>2</v>
      </c>
      <c r="C36" s="23">
        <f>SUM(Infra!I20:K20)</f>
        <v>65579</v>
      </c>
      <c r="D36" s="84" t="s">
        <v>159</v>
      </c>
      <c r="E36" s="629">
        <f>C36*C33</f>
        <v>524632</v>
      </c>
      <c r="H36" s="414" t="s">
        <v>161</v>
      </c>
      <c r="K36" s="185">
        <v>500000</v>
      </c>
    </row>
    <row r="37" spans="2:12" ht="15.95" thickBot="1">
      <c r="B37" s="41">
        <v>3</v>
      </c>
      <c r="C37" s="23">
        <f>SUM(Infra!L20:N20)</f>
        <v>322043</v>
      </c>
      <c r="D37" s="84" t="s">
        <v>159</v>
      </c>
      <c r="E37" s="629">
        <f>C37*C33</f>
        <v>2576344</v>
      </c>
      <c r="H37" s="414" t="s">
        <v>162</v>
      </c>
      <c r="K37" s="629">
        <v>1580000000</v>
      </c>
    </row>
    <row r="38" spans="2:12" ht="15.95" thickBot="1">
      <c r="B38" s="546" t="s">
        <v>37</v>
      </c>
      <c r="C38" s="100"/>
      <c r="D38" s="549"/>
      <c r="E38" s="633">
        <f>SUM(E35:E37)</f>
        <v>8372224</v>
      </c>
      <c r="H38" s="543" t="s">
        <v>163</v>
      </c>
      <c r="K38" s="629">
        <v>674000000</v>
      </c>
    </row>
    <row r="39" spans="2:12">
      <c r="H39" s="414" t="s">
        <v>164</v>
      </c>
      <c r="K39" s="62">
        <v>5755</v>
      </c>
      <c r="L39" s="84" t="s">
        <v>165</v>
      </c>
    </row>
    <row r="40" spans="2:12">
      <c r="H40" s="414" t="s">
        <v>166</v>
      </c>
      <c r="K40" s="62">
        <v>124000000</v>
      </c>
    </row>
    <row r="41" spans="2:12" ht="15.95" thickBot="1">
      <c r="H41" s="414" t="s">
        <v>167</v>
      </c>
      <c r="K41" s="629">
        <v>50175</v>
      </c>
      <c r="L41" s="84" t="s">
        <v>165</v>
      </c>
    </row>
    <row r="42" spans="2:12" ht="15.95" thickBot="1">
      <c r="H42" s="546" t="s">
        <v>37</v>
      </c>
      <c r="I42" s="100"/>
      <c r="J42" s="100"/>
      <c r="K42" s="633">
        <f>SUM(K28:K38)</f>
        <v>3638375000</v>
      </c>
    </row>
  </sheetData>
  <mergeCells count="6">
    <mergeCell ref="B2:D2"/>
    <mergeCell ref="B12:D12"/>
    <mergeCell ref="H26:J26"/>
    <mergeCell ref="H2:K2"/>
    <mergeCell ref="H18:J18"/>
    <mergeCell ref="H10:J1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A3F8C-446A-B144-A5DA-93EA37756DED}">
  <sheetPr>
    <tabColor theme="6" tint="0.79998168889431442"/>
  </sheetPr>
  <dimension ref="B1:AD105"/>
  <sheetViews>
    <sheetView zoomScale="84" zoomScaleNormal="110" workbookViewId="0">
      <selection activeCell="E28" sqref="E28"/>
    </sheetView>
  </sheetViews>
  <sheetFormatPr defaultColWidth="10.6640625" defaultRowHeight="15"/>
  <cols>
    <col min="1" max="1" width="3.33203125" style="134" customWidth="1"/>
    <col min="2" max="2" width="8.1640625" style="317" customWidth="1"/>
    <col min="3" max="3" width="31" style="317" customWidth="1"/>
    <col min="4" max="4" width="19.33203125" style="317" customWidth="1"/>
    <col min="5" max="6" width="10.6640625" style="317"/>
    <col min="7" max="7" width="17" style="317" customWidth="1"/>
    <col min="8" max="8" width="13.1640625" style="317" customWidth="1"/>
    <col min="9" max="9" width="10.6640625" style="317"/>
    <col min="10" max="10" width="15.33203125" style="317" customWidth="1"/>
    <col min="11" max="11" width="13.33203125" style="317" customWidth="1"/>
    <col min="12" max="12" width="16" style="317" customWidth="1"/>
    <col min="13" max="13" width="11.83203125" style="317" customWidth="1"/>
    <col min="14" max="14" width="20.1640625" style="317" customWidth="1"/>
    <col min="15" max="15" width="15" style="317" customWidth="1"/>
    <col min="16" max="16" width="13.1640625" style="318" customWidth="1"/>
    <col min="17" max="17" width="4.6640625" style="318" customWidth="1"/>
    <col min="18" max="18" width="25.6640625" style="317" customWidth="1"/>
    <col min="19" max="19" width="18.83203125" style="134" customWidth="1"/>
    <col min="20" max="16384" width="10.6640625" style="134"/>
  </cols>
  <sheetData>
    <row r="1" spans="2:27">
      <c r="S1" s="48"/>
      <c r="T1" s="48"/>
      <c r="U1" s="48"/>
      <c r="V1" s="48"/>
      <c r="W1" s="48"/>
      <c r="X1" s="48"/>
      <c r="Y1" s="48"/>
    </row>
    <row r="2" spans="2:27" ht="15.95" thickBot="1">
      <c r="S2" s="48"/>
      <c r="T2" s="48"/>
      <c r="U2" s="48"/>
      <c r="V2" s="48"/>
      <c r="W2" s="48"/>
      <c r="X2" s="48"/>
      <c r="Y2" s="48"/>
    </row>
    <row r="3" spans="2:27" ht="15.95" thickBot="1">
      <c r="D3" s="657" t="s">
        <v>168</v>
      </c>
      <c r="E3" s="658"/>
      <c r="F3" s="658"/>
      <c r="G3" s="658"/>
      <c r="H3" s="658"/>
      <c r="I3" s="658"/>
      <c r="J3" s="658"/>
      <c r="K3" s="658"/>
      <c r="L3" s="658"/>
      <c r="M3" s="658"/>
      <c r="N3" s="658"/>
      <c r="O3" s="659"/>
      <c r="P3" s="319"/>
      <c r="Q3" s="319"/>
      <c r="S3" s="665" t="s">
        <v>169</v>
      </c>
      <c r="T3" s="666"/>
      <c r="U3" s="666"/>
      <c r="V3" s="666"/>
      <c r="W3" s="666"/>
      <c r="X3" s="667"/>
    </row>
    <row r="4" spans="2:27" ht="15.95" thickBot="1">
      <c r="D4" s="320" t="s">
        <v>170</v>
      </c>
      <c r="E4" s="660" t="s">
        <v>171</v>
      </c>
      <c r="F4" s="660"/>
      <c r="G4" s="660"/>
      <c r="H4" s="660"/>
      <c r="I4" s="661" t="s">
        <v>172</v>
      </c>
      <c r="J4" s="661"/>
      <c r="K4" s="661"/>
      <c r="L4" s="662" t="s">
        <v>173</v>
      </c>
      <c r="M4" s="663"/>
      <c r="N4" s="664"/>
      <c r="O4" s="321" t="s">
        <v>174</v>
      </c>
      <c r="S4" s="179"/>
      <c r="T4" s="178"/>
      <c r="U4" s="178"/>
      <c r="V4" s="178"/>
      <c r="W4" s="178"/>
      <c r="X4" s="178"/>
      <c r="Y4" s="178"/>
      <c r="Z4" s="178"/>
      <c r="AA4" s="177"/>
    </row>
    <row r="5" spans="2:27" ht="15.95" thickBot="1">
      <c r="B5" s="212"/>
      <c r="C5" s="212"/>
      <c r="D5" s="276" t="s">
        <v>175</v>
      </c>
      <c r="E5" s="275">
        <v>2024</v>
      </c>
      <c r="F5" s="275">
        <v>2025</v>
      </c>
      <c r="G5" s="275">
        <v>2026</v>
      </c>
      <c r="H5" s="275">
        <v>2027</v>
      </c>
      <c r="I5" s="274">
        <v>2028</v>
      </c>
      <c r="J5" s="273">
        <v>2029</v>
      </c>
      <c r="K5" s="273">
        <v>2030</v>
      </c>
      <c r="L5" s="272">
        <v>2031</v>
      </c>
      <c r="M5" s="272">
        <v>2032</v>
      </c>
      <c r="N5" s="272">
        <v>2033</v>
      </c>
      <c r="O5" s="271" t="s">
        <v>176</v>
      </c>
      <c r="P5" s="270" t="s">
        <v>177</v>
      </c>
      <c r="Q5" s="212"/>
      <c r="S5" s="175">
        <f>SUM(D6:O6)</f>
        <v>1154025</v>
      </c>
      <c r="T5" s="173" t="s">
        <v>178</v>
      </c>
      <c r="U5" s="173"/>
      <c r="V5" s="173"/>
      <c r="W5" s="173"/>
      <c r="X5" s="173"/>
      <c r="Y5" s="173"/>
      <c r="Z5" s="173"/>
      <c r="AA5" s="172"/>
    </row>
    <row r="6" spans="2:27" ht="15.95" thickBot="1">
      <c r="B6" s="322"/>
      <c r="C6" s="323" t="s">
        <v>179</v>
      </c>
      <c r="D6" s="324">
        <v>0</v>
      </c>
      <c r="E6" s="325">
        <v>218816</v>
      </c>
      <c r="F6" s="325">
        <v>200187</v>
      </c>
      <c r="G6" s="325">
        <v>152849</v>
      </c>
      <c r="H6" s="326">
        <v>0</v>
      </c>
      <c r="I6" s="327">
        <v>63168</v>
      </c>
      <c r="J6" s="328">
        <f>76704+183275</f>
        <v>259979</v>
      </c>
      <c r="K6" s="328">
        <v>163026</v>
      </c>
      <c r="L6" s="329">
        <v>0</v>
      </c>
      <c r="M6" s="330">
        <v>0</v>
      </c>
      <c r="N6" s="329">
        <v>96000</v>
      </c>
      <c r="O6" s="331">
        <v>0</v>
      </c>
      <c r="P6" s="332">
        <f>SUM(D6:O6)</f>
        <v>1154025</v>
      </c>
      <c r="Q6" s="333" t="s">
        <v>180</v>
      </c>
      <c r="R6" s="317" t="str">
        <f>C6</f>
        <v>Market-Rate Rental Housing</v>
      </c>
      <c r="S6" s="175">
        <f>SUM(D7:O7)</f>
        <v>312568</v>
      </c>
      <c r="T6" s="173" t="s">
        <v>181</v>
      </c>
      <c r="U6" s="173"/>
      <c r="V6" s="173"/>
      <c r="W6" s="173"/>
      <c r="X6" s="173"/>
      <c r="Y6" s="173"/>
      <c r="Z6" s="173"/>
      <c r="AA6" s="172"/>
    </row>
    <row r="7" spans="2:27" ht="15.95" thickBot="1">
      <c r="B7" s="334"/>
      <c r="C7" s="335" t="s">
        <v>182</v>
      </c>
      <c r="D7" s="336">
        <v>0</v>
      </c>
      <c r="E7" s="325">
        <v>0</v>
      </c>
      <c r="F7" s="325">
        <v>0</v>
      </c>
      <c r="G7" s="325">
        <v>0</v>
      </c>
      <c r="H7" s="325">
        <v>312568</v>
      </c>
      <c r="I7" s="328">
        <v>0</v>
      </c>
      <c r="J7" s="328">
        <v>0</v>
      </c>
      <c r="K7" s="328">
        <v>0</v>
      </c>
      <c r="L7" s="329">
        <v>0</v>
      </c>
      <c r="M7" s="330">
        <v>0</v>
      </c>
      <c r="N7" s="329">
        <v>0</v>
      </c>
      <c r="O7" s="331">
        <v>0</v>
      </c>
      <c r="P7" s="332">
        <f>SUM(D7:O7)</f>
        <v>312568</v>
      </c>
      <c r="Q7" s="333" t="s">
        <v>180</v>
      </c>
      <c r="R7" s="317" t="str">
        <f>C7</f>
        <v>Affordable Rental Housing</v>
      </c>
      <c r="S7" s="164">
        <f>S6/((S5+S6)/100)</f>
        <v>21.312525015461002</v>
      </c>
      <c r="T7" s="173" t="s">
        <v>183</v>
      </c>
      <c r="U7" s="173"/>
      <c r="V7" s="173"/>
      <c r="W7" s="173"/>
      <c r="X7" s="173"/>
      <c r="Y7" s="173"/>
      <c r="Z7" s="173"/>
      <c r="AA7" s="172"/>
    </row>
    <row r="8" spans="2:27">
      <c r="B8" s="337"/>
      <c r="C8" s="335" t="s">
        <v>184</v>
      </c>
      <c r="D8" s="336">
        <v>0</v>
      </c>
      <c r="E8" s="325">
        <v>68071</v>
      </c>
      <c r="F8" s="325">
        <v>84449</v>
      </c>
      <c r="G8" s="325">
        <v>100899</v>
      </c>
      <c r="H8" s="325">
        <v>0</v>
      </c>
      <c r="I8" s="328">
        <v>0</v>
      </c>
      <c r="J8" s="328">
        <v>0</v>
      </c>
      <c r="K8" s="328">
        <v>0</v>
      </c>
      <c r="L8" s="329">
        <v>0</v>
      </c>
      <c r="M8" s="330">
        <v>0</v>
      </c>
      <c r="N8" s="329">
        <v>203917</v>
      </c>
      <c r="O8" s="331">
        <v>0</v>
      </c>
      <c r="P8" s="332">
        <f>SUM(D8:O8)</f>
        <v>457336</v>
      </c>
      <c r="Q8" s="333" t="s">
        <v>180</v>
      </c>
      <c r="R8" s="317" t="str">
        <f>C8</f>
        <v>Office/Commercial</v>
      </c>
      <c r="S8" s="174"/>
      <c r="T8" s="173"/>
      <c r="U8" s="173"/>
      <c r="V8" s="173"/>
      <c r="W8" s="173"/>
      <c r="X8" s="173"/>
      <c r="Y8" s="173"/>
      <c r="Z8" s="173"/>
      <c r="AA8" s="172"/>
    </row>
    <row r="9" spans="2:27" ht="15.95" thickBot="1">
      <c r="B9" s="337"/>
      <c r="C9" s="335" t="s">
        <v>14</v>
      </c>
      <c r="D9" s="336">
        <v>0</v>
      </c>
      <c r="E9" s="325">
        <v>14068</v>
      </c>
      <c r="F9" s="325">
        <v>18659</v>
      </c>
      <c r="G9" s="325">
        <v>30039</v>
      </c>
      <c r="H9" s="325">
        <v>33282</v>
      </c>
      <c r="I9" s="328">
        <v>37287</v>
      </c>
      <c r="J9" s="328">
        <f>25568</f>
        <v>25568</v>
      </c>
      <c r="K9" s="328">
        <v>0</v>
      </c>
      <c r="L9" s="329">
        <v>0</v>
      </c>
      <c r="M9" s="329">
        <v>23747</v>
      </c>
      <c r="N9" s="329">
        <v>23747</v>
      </c>
      <c r="O9" s="331">
        <v>0</v>
      </c>
      <c r="P9" s="332">
        <f>SUM(D9:O9)</f>
        <v>206397</v>
      </c>
      <c r="Q9" s="333" t="s">
        <v>180</v>
      </c>
      <c r="R9" s="317" t="str">
        <f>C9</f>
        <v>Retail</v>
      </c>
      <c r="S9" s="174"/>
      <c r="T9" s="173"/>
      <c r="U9" s="173"/>
      <c r="V9" s="173"/>
      <c r="W9" s="173"/>
      <c r="X9" s="173"/>
      <c r="Y9" s="173"/>
      <c r="Z9" s="173"/>
      <c r="AA9" s="172"/>
    </row>
    <row r="10" spans="2:27" ht="15.95" thickBot="1">
      <c r="B10" s="335"/>
      <c r="C10" s="335" t="s">
        <v>185</v>
      </c>
      <c r="D10" s="336"/>
      <c r="E10" s="325">
        <v>55047</v>
      </c>
      <c r="F10" s="325">
        <v>49007</v>
      </c>
      <c r="G10" s="325">
        <v>70470</v>
      </c>
      <c r="H10" s="325">
        <v>63425</v>
      </c>
      <c r="I10" s="328">
        <v>42344</v>
      </c>
      <c r="J10" s="328">
        <f>25568</f>
        <v>25568</v>
      </c>
      <c r="K10" s="328">
        <v>22552</v>
      </c>
      <c r="L10" s="329">
        <v>0</v>
      </c>
      <c r="M10" s="329">
        <v>6747</v>
      </c>
      <c r="N10" s="329">
        <v>63220</v>
      </c>
      <c r="O10" s="331">
        <v>0</v>
      </c>
      <c r="P10" s="332">
        <f>SUM(D10:O10)</f>
        <v>398380</v>
      </c>
      <c r="Q10" s="333" t="s">
        <v>180</v>
      </c>
      <c r="R10" s="317" t="str">
        <f>C10</f>
        <v>Rooftop Spaces</v>
      </c>
      <c r="S10" s="175">
        <f>P69</f>
        <v>6763.1072500000009</v>
      </c>
      <c r="T10" s="173" t="s">
        <v>186</v>
      </c>
      <c r="U10" s="173"/>
      <c r="V10" s="173"/>
      <c r="W10" s="173"/>
      <c r="X10" s="173"/>
      <c r="Y10" s="173"/>
      <c r="Z10" s="173"/>
      <c r="AA10" s="172"/>
    </row>
    <row r="11" spans="2:27" ht="15.95" thickBot="1">
      <c r="B11" s="337"/>
      <c r="C11" s="335" t="s">
        <v>187</v>
      </c>
      <c r="D11" s="336">
        <v>0</v>
      </c>
      <c r="E11" s="325">
        <v>0</v>
      </c>
      <c r="F11" s="325">
        <v>0</v>
      </c>
      <c r="G11" s="325">
        <v>0</v>
      </c>
      <c r="H11" s="325">
        <v>0</v>
      </c>
      <c r="I11" s="328">
        <v>0</v>
      </c>
      <c r="J11" s="328">
        <v>0</v>
      </c>
      <c r="K11" s="328">
        <v>0</v>
      </c>
      <c r="L11" s="329">
        <v>0</v>
      </c>
      <c r="M11" s="329">
        <v>371657</v>
      </c>
      <c r="N11" s="329">
        <v>0</v>
      </c>
      <c r="O11" s="331">
        <v>0</v>
      </c>
      <c r="P11" s="332">
        <f>SUM(D11:O11)</f>
        <v>371657</v>
      </c>
      <c r="Q11" s="333" t="s">
        <v>180</v>
      </c>
      <c r="R11" s="317" t="str">
        <f>C11</f>
        <v>Hotel</v>
      </c>
      <c r="S11" s="175">
        <f>P70</f>
        <v>-2028.9321750000001</v>
      </c>
      <c r="T11" s="176" t="s">
        <v>188</v>
      </c>
      <c r="U11" s="173"/>
      <c r="V11" s="173"/>
      <c r="W11" s="173"/>
      <c r="X11" s="173"/>
      <c r="Y11" s="173"/>
      <c r="Z11" s="173"/>
      <c r="AA11" s="172"/>
    </row>
    <row r="12" spans="2:27" ht="15.95" thickBot="1">
      <c r="B12" s="337"/>
      <c r="C12" s="335" t="s">
        <v>189</v>
      </c>
      <c r="D12" s="338">
        <v>183687</v>
      </c>
      <c r="E12" s="325">
        <f>102278+80630</f>
        <v>182908</v>
      </c>
      <c r="F12" s="325">
        <v>127865</v>
      </c>
      <c r="G12" s="325">
        <v>162248</v>
      </c>
      <c r="H12" s="325">
        <v>103590</v>
      </c>
      <c r="I12" s="328">
        <v>0</v>
      </c>
      <c r="J12" s="328">
        <v>64151</v>
      </c>
      <c r="K12" s="328">
        <f>22562*2</f>
        <v>45124</v>
      </c>
      <c r="L12" s="329">
        <v>0</v>
      </c>
      <c r="M12" s="329">
        <v>178698</v>
      </c>
      <c r="N12" s="329">
        <v>178698</v>
      </c>
      <c r="O12" s="331">
        <v>0</v>
      </c>
      <c r="P12" s="332">
        <f>SUM(D12:O12)</f>
        <v>1226969</v>
      </c>
      <c r="Q12" s="333" t="s">
        <v>180</v>
      </c>
      <c r="R12" s="317" t="str">
        <f>C12</f>
        <v>Structured Parking</v>
      </c>
      <c r="S12" s="175">
        <f>-S10*0.2</f>
        <v>-1352.6214500000003</v>
      </c>
      <c r="T12" s="176" t="s">
        <v>190</v>
      </c>
      <c r="U12" s="173"/>
      <c r="V12" s="173"/>
      <c r="W12" s="173"/>
      <c r="X12" s="173"/>
      <c r="Y12" s="173"/>
      <c r="Z12" s="173"/>
      <c r="AA12" s="172"/>
    </row>
    <row r="13" spans="2:27" ht="15.95" thickBot="1">
      <c r="B13" s="335"/>
      <c r="C13" s="335" t="s">
        <v>191</v>
      </c>
      <c r="D13" s="339">
        <f>D12/350</f>
        <v>524.82000000000005</v>
      </c>
      <c r="E13" s="340">
        <f>E12/350</f>
        <v>522.59428571428566</v>
      </c>
      <c r="F13" s="340">
        <f>F12/350</f>
        <v>365.32857142857142</v>
      </c>
      <c r="G13" s="340">
        <f>G12/350</f>
        <v>463.56571428571431</v>
      </c>
      <c r="H13" s="340">
        <f>H12/350</f>
        <v>295.97142857142859</v>
      </c>
      <c r="I13" s="340">
        <f>I12/350</f>
        <v>0</v>
      </c>
      <c r="J13" s="340">
        <f>J12/350</f>
        <v>183.28857142857143</v>
      </c>
      <c r="K13" s="340">
        <f>K12/350</f>
        <v>128.92571428571429</v>
      </c>
      <c r="L13" s="340">
        <f>L12/350</f>
        <v>0</v>
      </c>
      <c r="M13" s="341">
        <f>M12/350</f>
        <v>510.56571428571431</v>
      </c>
      <c r="N13" s="341">
        <f>N12/350</f>
        <v>510.56571428571431</v>
      </c>
      <c r="O13" s="342">
        <f>O12/350</f>
        <v>0</v>
      </c>
      <c r="P13" s="332">
        <f>SUM(D13:O13)</f>
        <v>3505.6257142857139</v>
      </c>
      <c r="Q13" s="333"/>
      <c r="R13" s="317" t="str">
        <f>C13</f>
        <v># parking spots</v>
      </c>
      <c r="S13" s="164">
        <f>P72</f>
        <v>3381.5536250000005</v>
      </c>
      <c r="T13" s="173" t="s">
        <v>192</v>
      </c>
      <c r="U13" s="173"/>
      <c r="V13" s="173"/>
      <c r="W13" s="173"/>
      <c r="X13" s="173"/>
      <c r="Y13" s="173"/>
      <c r="Z13" s="173"/>
      <c r="AA13" s="172"/>
    </row>
    <row r="14" spans="2:27" ht="15.95" thickBot="1">
      <c r="B14" s="337"/>
      <c r="C14" s="335" t="s">
        <v>193</v>
      </c>
      <c r="D14" s="336">
        <v>0</v>
      </c>
      <c r="E14" s="325">
        <v>0</v>
      </c>
      <c r="F14" s="325">
        <v>0</v>
      </c>
      <c r="G14" s="325">
        <v>0</v>
      </c>
      <c r="H14" s="325">
        <v>0</v>
      </c>
      <c r="I14" s="328">
        <v>0</v>
      </c>
      <c r="J14" s="328">
        <v>9022</v>
      </c>
      <c r="K14" s="328">
        <v>0</v>
      </c>
      <c r="L14" s="329">
        <v>0</v>
      </c>
      <c r="M14" s="330">
        <v>0</v>
      </c>
      <c r="N14" s="329">
        <v>10000</v>
      </c>
      <c r="O14" s="331">
        <v>0</v>
      </c>
      <c r="P14" s="332">
        <f>SUM(D14:O14)</f>
        <v>19022</v>
      </c>
      <c r="Q14" s="333" t="s">
        <v>180</v>
      </c>
      <c r="R14" s="317" t="str">
        <f>C14</f>
        <v>Surface Parking</v>
      </c>
      <c r="S14" s="262">
        <f>SUM(D19:O19)</f>
        <v>3743.7885714285712</v>
      </c>
      <c r="T14" s="173" t="s">
        <v>194</v>
      </c>
      <c r="U14" s="173"/>
      <c r="V14" s="173"/>
      <c r="W14" s="173"/>
      <c r="X14" s="173"/>
      <c r="Y14" s="173"/>
      <c r="Z14" s="173"/>
      <c r="AA14" s="172"/>
    </row>
    <row r="15" spans="2:27" ht="15.95" thickBot="1">
      <c r="B15" s="335"/>
      <c r="C15" s="335" t="s">
        <v>191</v>
      </c>
      <c r="D15" s="339">
        <f>D14/350</f>
        <v>0</v>
      </c>
      <c r="E15" s="340">
        <f>E14/350</f>
        <v>0</v>
      </c>
      <c r="F15" s="340">
        <f>F14/350</f>
        <v>0</v>
      </c>
      <c r="G15" s="340">
        <f>G14/350</f>
        <v>0</v>
      </c>
      <c r="H15" s="340">
        <f>H14/350</f>
        <v>0</v>
      </c>
      <c r="I15" s="340">
        <f>I14/350</f>
        <v>0</v>
      </c>
      <c r="J15" s="340">
        <f>J14/350</f>
        <v>25.777142857142856</v>
      </c>
      <c r="K15" s="340">
        <f>K14/350</f>
        <v>0</v>
      </c>
      <c r="L15" s="340">
        <f>L14/350</f>
        <v>0</v>
      </c>
      <c r="M15" s="340">
        <f>M14/350</f>
        <v>0</v>
      </c>
      <c r="N15" s="340">
        <f>N14/350</f>
        <v>28.571428571428573</v>
      </c>
      <c r="O15" s="343">
        <f>O14/350</f>
        <v>0</v>
      </c>
      <c r="P15" s="332">
        <f>SUM(D15:O15)</f>
        <v>54.348571428571432</v>
      </c>
      <c r="Q15" s="333"/>
      <c r="R15" s="317" t="str">
        <f>C15</f>
        <v># parking spots</v>
      </c>
      <c r="S15" s="175">
        <f>((((((P6+P7)/1000)-300)/200)+2))</f>
        <v>7.8329650000000006</v>
      </c>
      <c r="T15" s="173" t="s">
        <v>195</v>
      </c>
      <c r="U15" s="173"/>
      <c r="V15" s="173"/>
      <c r="W15" s="173"/>
      <c r="X15" s="173"/>
      <c r="Y15" s="173"/>
      <c r="Z15" s="173"/>
      <c r="AA15" s="172"/>
    </row>
    <row r="16" spans="2:27" ht="15.95" thickBot="1">
      <c r="B16" s="337"/>
      <c r="C16" s="335" t="s">
        <v>196</v>
      </c>
      <c r="D16" s="336">
        <v>0</v>
      </c>
      <c r="E16" s="325">
        <v>0</v>
      </c>
      <c r="F16" s="325">
        <v>0</v>
      </c>
      <c r="G16" s="325">
        <v>0</v>
      </c>
      <c r="H16" s="325">
        <v>0</v>
      </c>
      <c r="I16" s="328">
        <v>64335</v>
      </c>
      <c r="J16" s="328">
        <v>0</v>
      </c>
      <c r="K16" s="328">
        <v>0</v>
      </c>
      <c r="L16" s="329">
        <v>0</v>
      </c>
      <c r="M16" s="330">
        <v>0</v>
      </c>
      <c r="N16" s="329">
        <v>0</v>
      </c>
      <c r="O16" s="331">
        <v>0</v>
      </c>
      <c r="P16" s="332">
        <f>SUM(D16:O16)</f>
        <v>64335</v>
      </c>
      <c r="Q16" s="333" t="s">
        <v>180</v>
      </c>
      <c r="R16" s="317" t="str">
        <f>C16</f>
        <v>Flex Surface Parking</v>
      </c>
      <c r="S16" s="171"/>
      <c r="T16" s="170"/>
      <c r="U16" s="170"/>
      <c r="V16" s="170"/>
      <c r="W16" s="170"/>
      <c r="X16" s="170"/>
      <c r="Y16" s="170"/>
      <c r="Z16" s="170"/>
      <c r="AA16" s="169"/>
    </row>
    <row r="17" spans="2:25">
      <c r="B17" s="335"/>
      <c r="C17" s="335" t="s">
        <v>191</v>
      </c>
      <c r="D17" s="339">
        <f>D16/350</f>
        <v>0</v>
      </c>
      <c r="E17" s="340">
        <f>E16/350</f>
        <v>0</v>
      </c>
      <c r="F17" s="340">
        <f>F16/350</f>
        <v>0</v>
      </c>
      <c r="G17" s="340">
        <f>G16/350</f>
        <v>0</v>
      </c>
      <c r="H17" s="340">
        <f>H16/350</f>
        <v>0</v>
      </c>
      <c r="I17" s="340">
        <f>I16/350</f>
        <v>183.81428571428572</v>
      </c>
      <c r="J17" s="340">
        <f>J16/350</f>
        <v>0</v>
      </c>
      <c r="K17" s="340">
        <f>K16/350</f>
        <v>0</v>
      </c>
      <c r="L17" s="340">
        <f>L16/350</f>
        <v>0</v>
      </c>
      <c r="M17" s="340">
        <f>M16/350</f>
        <v>0</v>
      </c>
      <c r="N17" s="340">
        <f>N16/350</f>
        <v>0</v>
      </c>
      <c r="O17" s="343">
        <f>O16/350</f>
        <v>0</v>
      </c>
      <c r="P17" s="332">
        <f>SUM(D17:O17)</f>
        <v>183.81428571428572</v>
      </c>
      <c r="Q17" s="333"/>
      <c r="R17" s="317" t="str">
        <f>C17</f>
        <v># parking spots</v>
      </c>
    </row>
    <row r="18" spans="2:25">
      <c r="B18" s="335"/>
      <c r="C18" s="335" t="s">
        <v>197</v>
      </c>
      <c r="D18" s="339">
        <f>D17/350</f>
        <v>0</v>
      </c>
      <c r="E18" s="377">
        <f>E10+E12+E14+E16</f>
        <v>237955</v>
      </c>
      <c r="F18" s="377">
        <f t="shared" ref="F18:O18" si="0">F10+F12+F14+F16</f>
        <v>176872</v>
      </c>
      <c r="G18" s="377">
        <f t="shared" si="0"/>
        <v>232718</v>
      </c>
      <c r="H18" s="377">
        <f t="shared" si="0"/>
        <v>167015</v>
      </c>
      <c r="I18" s="378">
        <f t="shared" si="0"/>
        <v>106679</v>
      </c>
      <c r="J18" s="378">
        <f t="shared" si="0"/>
        <v>98741</v>
      </c>
      <c r="K18" s="378">
        <f t="shared" si="0"/>
        <v>67676</v>
      </c>
      <c r="L18" s="379">
        <f t="shared" si="0"/>
        <v>0</v>
      </c>
      <c r="M18" s="379">
        <f t="shared" si="0"/>
        <v>185445</v>
      </c>
      <c r="N18" s="379">
        <f t="shared" si="0"/>
        <v>251918</v>
      </c>
      <c r="O18" s="340">
        <f t="shared" si="0"/>
        <v>0</v>
      </c>
      <c r="P18" s="332"/>
      <c r="Q18" s="333"/>
      <c r="R18" s="317" t="str">
        <f>C18</f>
        <v xml:space="preserve">Total Parking </v>
      </c>
    </row>
    <row r="19" spans="2:25">
      <c r="B19" s="335"/>
      <c r="C19" s="335" t="s">
        <v>198</v>
      </c>
      <c r="D19" s="344">
        <f>SUM(D13+D15+D17)</f>
        <v>524.82000000000005</v>
      </c>
      <c r="E19" s="345">
        <f>SUM(E13+E15+E17)</f>
        <v>522.59428571428566</v>
      </c>
      <c r="F19" s="345">
        <f>SUM(F13+F15+F17)</f>
        <v>365.32857142857142</v>
      </c>
      <c r="G19" s="345">
        <f>SUM(G13+G15+G17)</f>
        <v>463.56571428571431</v>
      </c>
      <c r="H19" s="345">
        <f>SUM(H13+H15+H17)</f>
        <v>295.97142857142859</v>
      </c>
      <c r="I19" s="345">
        <f>SUM(I13+I15+I17)</f>
        <v>183.81428571428572</v>
      </c>
      <c r="J19" s="345">
        <f>SUM(J13+J15+J17)</f>
        <v>209.06571428571428</v>
      </c>
      <c r="K19" s="345">
        <f>SUM(K13+K15+K17)</f>
        <v>128.92571428571429</v>
      </c>
      <c r="L19" s="345">
        <f>SUM(L13+L15+L17)</f>
        <v>0</v>
      </c>
      <c r="M19" s="345">
        <f>SUM(M13+M15+M17)</f>
        <v>510.56571428571431</v>
      </c>
      <c r="N19" s="345">
        <f>SUM(N13+N15+N17)</f>
        <v>539.13714285714286</v>
      </c>
      <c r="O19" s="346">
        <f>SUM(O13+O15+O17)</f>
        <v>0</v>
      </c>
      <c r="P19" s="332">
        <f>SUM(D19:O19)</f>
        <v>3743.7885714285712</v>
      </c>
      <c r="Q19" s="333"/>
      <c r="R19" s="317" t="str">
        <f>C19</f>
        <v># Total Parking Spaces</v>
      </c>
    </row>
    <row r="20" spans="2:25">
      <c r="C20" s="335" t="s">
        <v>102</v>
      </c>
      <c r="D20" s="347">
        <f>D44</f>
        <v>0</v>
      </c>
      <c r="E20" s="325">
        <f>E44</f>
        <v>272756</v>
      </c>
      <c r="F20" s="325">
        <f>F44</f>
        <v>180226</v>
      </c>
      <c r="G20" s="325">
        <f>G44</f>
        <v>154450</v>
      </c>
      <c r="H20" s="325">
        <f>H44</f>
        <v>51474</v>
      </c>
      <c r="I20" s="328">
        <f>I44</f>
        <v>42381</v>
      </c>
      <c r="J20" s="328">
        <f>J44</f>
        <v>23198</v>
      </c>
      <c r="K20" s="328">
        <f>K44</f>
        <v>0</v>
      </c>
      <c r="L20" s="329">
        <f>L44</f>
        <v>57835</v>
      </c>
      <c r="M20" s="329">
        <f>M44</f>
        <v>166400</v>
      </c>
      <c r="N20" s="329">
        <f>N44</f>
        <v>97808</v>
      </c>
      <c r="O20" s="331">
        <f>O44</f>
        <v>0</v>
      </c>
      <c r="P20" s="332">
        <f>SUM(D20:O20)</f>
        <v>1046528</v>
      </c>
      <c r="Q20" s="333" t="s">
        <v>180</v>
      </c>
      <c r="R20" s="317" t="str">
        <f>C20</f>
        <v>Demolition</v>
      </c>
      <c r="S20" s="48"/>
      <c r="T20" s="48"/>
      <c r="U20" s="48"/>
      <c r="V20" s="48"/>
      <c r="W20" s="48"/>
      <c r="X20" s="48"/>
      <c r="Y20" s="48"/>
    </row>
    <row r="21" spans="2:25">
      <c r="C21" s="335" t="s">
        <v>199</v>
      </c>
      <c r="D21" s="347">
        <v>183687</v>
      </c>
      <c r="E21" s="348">
        <v>0</v>
      </c>
      <c r="F21" s="348">
        <v>0</v>
      </c>
      <c r="G21" s="348">
        <v>0</v>
      </c>
      <c r="H21" s="348">
        <v>0</v>
      </c>
      <c r="I21" s="328">
        <v>0</v>
      </c>
      <c r="J21" s="328">
        <v>0</v>
      </c>
      <c r="K21" s="328">
        <v>0</v>
      </c>
      <c r="L21" s="329">
        <v>0</v>
      </c>
      <c r="M21" s="329">
        <v>0</v>
      </c>
      <c r="N21" s="329">
        <v>0</v>
      </c>
      <c r="O21" s="331">
        <v>0</v>
      </c>
      <c r="P21" s="332">
        <f>SUM(D21:O21)</f>
        <v>183687</v>
      </c>
      <c r="Q21" s="333" t="s">
        <v>180</v>
      </c>
      <c r="R21" s="317" t="str">
        <f>C21</f>
        <v>Garage Renovation</v>
      </c>
      <c r="S21" s="48"/>
      <c r="T21" s="48"/>
      <c r="U21" s="48"/>
      <c r="V21" s="48"/>
      <c r="W21" s="48"/>
      <c r="X21" s="48"/>
      <c r="Y21" s="48"/>
    </row>
    <row r="22" spans="2:25" ht="15.95" thickBot="1">
      <c r="B22" s="337"/>
      <c r="C22" s="335" t="s">
        <v>200</v>
      </c>
      <c r="D22" s="349">
        <v>0</v>
      </c>
      <c r="E22" s="350">
        <f>E33</f>
        <v>75000</v>
      </c>
      <c r="F22" s="350">
        <v>0</v>
      </c>
      <c r="G22" s="350">
        <v>0</v>
      </c>
      <c r="H22" s="350">
        <v>0</v>
      </c>
      <c r="I22" s="351">
        <v>0</v>
      </c>
      <c r="J22" s="351">
        <v>0</v>
      </c>
      <c r="K22" s="351">
        <v>0</v>
      </c>
      <c r="L22" s="352">
        <f>L35</f>
        <v>56000</v>
      </c>
      <c r="M22" s="352">
        <v>0</v>
      </c>
      <c r="N22" s="352">
        <v>0</v>
      </c>
      <c r="O22" s="353">
        <v>0</v>
      </c>
      <c r="P22" s="354">
        <f>SUM(D22:O22)</f>
        <v>131000</v>
      </c>
      <c r="Q22" s="333" t="s">
        <v>201</v>
      </c>
      <c r="R22" s="317" t="str">
        <f>C22</f>
        <v>Remediation</v>
      </c>
      <c r="S22" s="48"/>
      <c r="T22" s="48"/>
      <c r="U22" s="48"/>
      <c r="V22" s="48"/>
      <c r="W22" s="48"/>
      <c r="X22" s="48"/>
      <c r="Y22" s="48"/>
    </row>
    <row r="23" spans="2:25" ht="15.95" thickBot="1">
      <c r="E23" s="668" t="s">
        <v>202</v>
      </c>
      <c r="F23" s="669"/>
      <c r="G23" s="669"/>
      <c r="H23" s="670"/>
      <c r="S23" s="48"/>
      <c r="T23" s="48"/>
      <c r="U23" s="48"/>
      <c r="V23" s="48"/>
      <c r="W23" s="48"/>
      <c r="X23" s="48"/>
      <c r="Y23" s="48"/>
    </row>
    <row r="24" spans="2:25" ht="15.95" thickBot="1">
      <c r="S24" s="48"/>
      <c r="T24" s="48"/>
      <c r="U24" s="48"/>
      <c r="V24" s="48"/>
      <c r="W24" s="48"/>
      <c r="X24" s="48"/>
      <c r="Y24" s="48"/>
    </row>
    <row r="25" spans="2:25" ht="15.95" thickBot="1">
      <c r="D25" s="657" t="s">
        <v>203</v>
      </c>
      <c r="E25" s="658"/>
      <c r="F25" s="658"/>
      <c r="G25" s="658"/>
      <c r="H25" s="658"/>
      <c r="I25" s="658"/>
      <c r="J25" s="658"/>
      <c r="K25" s="658"/>
      <c r="L25" s="658"/>
      <c r="M25" s="658"/>
      <c r="N25" s="658"/>
      <c r="O25" s="659"/>
      <c r="P25" s="319"/>
      <c r="Q25" s="319"/>
      <c r="S25" s="48"/>
      <c r="T25" s="48"/>
      <c r="U25" s="48"/>
      <c r="V25" s="48"/>
      <c r="W25" s="48"/>
      <c r="X25" s="48"/>
      <c r="Y25" s="48"/>
    </row>
    <row r="26" spans="2:25">
      <c r="B26" s="355"/>
      <c r="C26" s="335" t="s">
        <v>204</v>
      </c>
      <c r="D26" s="356">
        <v>0</v>
      </c>
      <c r="E26" s="326">
        <v>4500</v>
      </c>
      <c r="F26" s="326">
        <v>0</v>
      </c>
      <c r="G26" s="326">
        <v>0</v>
      </c>
      <c r="H26" s="326">
        <v>0</v>
      </c>
      <c r="I26" s="327">
        <v>0</v>
      </c>
      <c r="J26" s="327">
        <v>0</v>
      </c>
      <c r="K26" s="327">
        <v>0</v>
      </c>
      <c r="L26" s="357">
        <v>0</v>
      </c>
      <c r="M26" s="357">
        <v>0</v>
      </c>
      <c r="N26" s="357">
        <v>0</v>
      </c>
      <c r="O26" s="358">
        <v>0</v>
      </c>
      <c r="P26" s="359">
        <f>SUM(D26:O26)</f>
        <v>4500</v>
      </c>
      <c r="Q26" s="333" t="s">
        <v>180</v>
      </c>
      <c r="R26" s="317" t="str">
        <f>C26</f>
        <v>BART Station</v>
      </c>
      <c r="S26" s="48"/>
      <c r="T26" s="48"/>
      <c r="U26" s="48"/>
      <c r="V26" s="48"/>
      <c r="W26" s="48"/>
      <c r="X26" s="48"/>
      <c r="Y26" s="48"/>
    </row>
    <row r="27" spans="2:25">
      <c r="B27" s="360"/>
      <c r="C27" s="335" t="s">
        <v>205</v>
      </c>
      <c r="D27" s="361">
        <v>0</v>
      </c>
      <c r="E27" s="325">
        <v>4125</v>
      </c>
      <c r="F27" s="325">
        <v>0</v>
      </c>
      <c r="G27" s="325">
        <v>0</v>
      </c>
      <c r="H27" s="325">
        <v>0</v>
      </c>
      <c r="I27" s="328">
        <v>0</v>
      </c>
      <c r="J27" s="328">
        <v>0</v>
      </c>
      <c r="K27" s="328">
        <v>0</v>
      </c>
      <c r="L27" s="329">
        <v>0</v>
      </c>
      <c r="M27" s="329">
        <v>0</v>
      </c>
      <c r="N27" s="329">
        <v>0</v>
      </c>
      <c r="O27" s="362">
        <v>0</v>
      </c>
      <c r="P27" s="332">
        <f>SUM(D27:O27)</f>
        <v>4125</v>
      </c>
      <c r="Q27" s="333" t="s">
        <v>180</v>
      </c>
      <c r="R27" s="317" t="str">
        <f>C27</f>
        <v>Bus Transit Hub</v>
      </c>
      <c r="S27" s="48"/>
      <c r="T27" s="48"/>
      <c r="U27" s="48"/>
      <c r="V27" s="48"/>
      <c r="W27" s="48"/>
      <c r="X27" s="48"/>
      <c r="Y27" s="48"/>
    </row>
    <row r="28" spans="2:25">
      <c r="B28" s="363"/>
      <c r="C28" s="364" t="s">
        <v>206</v>
      </c>
      <c r="D28" s="361">
        <v>0</v>
      </c>
      <c r="E28" s="325">
        <v>87219</v>
      </c>
      <c r="F28" s="325">
        <v>0</v>
      </c>
      <c r="G28" s="325">
        <v>0</v>
      </c>
      <c r="H28" s="325">
        <v>0</v>
      </c>
      <c r="I28" s="328">
        <v>0</v>
      </c>
      <c r="J28" s="328">
        <v>0</v>
      </c>
      <c r="K28" s="328">
        <v>0</v>
      </c>
      <c r="L28" s="329">
        <v>0</v>
      </c>
      <c r="M28" s="329">
        <v>0</v>
      </c>
      <c r="N28" s="329">
        <v>0</v>
      </c>
      <c r="O28" s="362">
        <v>0</v>
      </c>
      <c r="P28" s="332">
        <f>SUM(D28:O28)</f>
        <v>87219</v>
      </c>
      <c r="Q28" s="333" t="s">
        <v>180</v>
      </c>
      <c r="R28" s="317" t="str">
        <f>C28</f>
        <v>Existing Public Park</v>
      </c>
      <c r="S28" s="48"/>
      <c r="T28" s="48"/>
      <c r="U28" s="48"/>
      <c r="V28" s="48"/>
      <c r="W28" s="48"/>
      <c r="X28" s="48"/>
      <c r="Y28" s="48"/>
    </row>
    <row r="29" spans="2:25">
      <c r="B29" s="365"/>
      <c r="C29" s="366" t="s">
        <v>207</v>
      </c>
      <c r="D29" s="367">
        <v>0</v>
      </c>
      <c r="E29" s="325">
        <f>344542-75000</f>
        <v>269542</v>
      </c>
      <c r="F29" s="325">
        <v>0</v>
      </c>
      <c r="G29" s="325">
        <v>0</v>
      </c>
      <c r="H29" s="325">
        <v>0</v>
      </c>
      <c r="I29" s="328">
        <v>0</v>
      </c>
      <c r="J29" s="328">
        <v>0</v>
      </c>
      <c r="K29" s="328">
        <v>0</v>
      </c>
      <c r="L29" s="329">
        <v>0</v>
      </c>
      <c r="M29" s="329">
        <v>0</v>
      </c>
      <c r="N29" s="329">
        <v>0</v>
      </c>
      <c r="O29" s="362">
        <v>0</v>
      </c>
      <c r="P29" s="332">
        <f>SUM(D29:O29)</f>
        <v>269542</v>
      </c>
      <c r="Q29" s="333" t="s">
        <v>180</v>
      </c>
      <c r="R29" s="317" t="str">
        <f>C29</f>
        <v>Misc. Public Space</v>
      </c>
      <c r="S29" s="48"/>
      <c r="T29" s="48"/>
      <c r="U29" s="48"/>
      <c r="V29" s="48"/>
      <c r="W29" s="48"/>
      <c r="X29" s="48"/>
      <c r="Y29" s="48"/>
    </row>
    <row r="30" spans="2:25">
      <c r="B30" s="365"/>
      <c r="C30" s="366" t="s">
        <v>208</v>
      </c>
      <c r="D30" s="361">
        <v>0</v>
      </c>
      <c r="E30" s="325">
        <v>28534</v>
      </c>
      <c r="F30" s="325">
        <v>0</v>
      </c>
      <c r="G30" s="325">
        <v>0</v>
      </c>
      <c r="H30" s="325">
        <v>0</v>
      </c>
      <c r="I30" s="328">
        <v>0</v>
      </c>
      <c r="J30" s="328">
        <v>0</v>
      </c>
      <c r="K30" s="328">
        <v>0</v>
      </c>
      <c r="L30" s="329">
        <v>4544</v>
      </c>
      <c r="M30" s="330">
        <v>0</v>
      </c>
      <c r="N30" s="330">
        <v>0</v>
      </c>
      <c r="O30" s="368">
        <v>0</v>
      </c>
      <c r="P30" s="332">
        <f>SUM(D30:O30)</f>
        <v>33078</v>
      </c>
      <c r="Q30" s="333" t="s">
        <v>180</v>
      </c>
      <c r="R30" s="317" t="str">
        <f>C30</f>
        <v>Misc. Enclosed</v>
      </c>
      <c r="S30" s="48"/>
      <c r="T30" s="48"/>
      <c r="U30" s="48"/>
      <c r="V30" s="48"/>
      <c r="W30" s="48"/>
      <c r="X30" s="48"/>
      <c r="Y30" s="48"/>
    </row>
    <row r="31" spans="2:25">
      <c r="B31" s="365"/>
      <c r="C31" s="366" t="s">
        <v>209</v>
      </c>
      <c r="D31" s="367">
        <v>0</v>
      </c>
      <c r="E31" s="325">
        <v>0</v>
      </c>
      <c r="F31" s="325">
        <v>0</v>
      </c>
      <c r="G31" s="325">
        <v>0</v>
      </c>
      <c r="H31" s="325">
        <v>0</v>
      </c>
      <c r="I31" s="328">
        <v>70107</v>
      </c>
      <c r="J31" s="328">
        <v>0</v>
      </c>
      <c r="K31" s="328">
        <v>0</v>
      </c>
      <c r="L31" s="329">
        <v>0</v>
      </c>
      <c r="M31" s="330">
        <v>0</v>
      </c>
      <c r="N31" s="330">
        <v>0</v>
      </c>
      <c r="O31" s="368">
        <v>0</v>
      </c>
      <c r="P31" s="332">
        <f>SUM(D31:O31)</f>
        <v>70107</v>
      </c>
      <c r="Q31" s="333" t="s">
        <v>180</v>
      </c>
      <c r="R31" s="317" t="str">
        <f>C31</f>
        <v>Open Market</v>
      </c>
      <c r="S31" s="48"/>
      <c r="T31" s="48"/>
      <c r="U31" s="48"/>
      <c r="V31" s="48"/>
      <c r="W31" s="48"/>
      <c r="X31" s="48"/>
      <c r="Y31" s="48"/>
    </row>
    <row r="32" spans="2:25">
      <c r="B32" s="365"/>
      <c r="C32" s="366" t="s">
        <v>210</v>
      </c>
      <c r="D32" s="367">
        <v>0</v>
      </c>
      <c r="E32" s="369">
        <v>0</v>
      </c>
      <c r="F32" s="369">
        <v>0</v>
      </c>
      <c r="G32" s="369">
        <v>0</v>
      </c>
      <c r="H32" s="369">
        <v>0</v>
      </c>
      <c r="I32" s="370">
        <v>74200</v>
      </c>
      <c r="J32" s="370">
        <v>0</v>
      </c>
      <c r="K32" s="370">
        <v>0</v>
      </c>
      <c r="L32" s="371">
        <v>0</v>
      </c>
      <c r="M32" s="371">
        <v>0</v>
      </c>
      <c r="N32" s="371">
        <v>0</v>
      </c>
      <c r="O32" s="368">
        <v>0</v>
      </c>
      <c r="P32" s="332">
        <f>SUM(D32:O32)</f>
        <v>74200</v>
      </c>
      <c r="Q32" s="333" t="s">
        <v>180</v>
      </c>
      <c r="R32" s="317" t="str">
        <f>C32</f>
        <v>Enclosed Market</v>
      </c>
      <c r="S32" s="48"/>
      <c r="T32" s="48"/>
      <c r="U32" s="48"/>
      <c r="V32" s="48"/>
      <c r="W32" s="48"/>
      <c r="X32" s="48"/>
      <c r="Y32" s="48"/>
    </row>
    <row r="33" spans="2:25" ht="15" customHeight="1">
      <c r="B33" s="365"/>
      <c r="C33" s="366" t="s">
        <v>211</v>
      </c>
      <c r="D33" s="367">
        <v>0</v>
      </c>
      <c r="E33" s="369">
        <v>75000</v>
      </c>
      <c r="F33" s="369">
        <v>0</v>
      </c>
      <c r="G33" s="369">
        <v>0</v>
      </c>
      <c r="H33" s="369">
        <v>0</v>
      </c>
      <c r="I33" s="370">
        <v>0</v>
      </c>
      <c r="J33" s="370">
        <v>0</v>
      </c>
      <c r="K33" s="370">
        <v>0</v>
      </c>
      <c r="L33" s="371">
        <v>79263</v>
      </c>
      <c r="M33" s="371">
        <v>0</v>
      </c>
      <c r="N33" s="371">
        <v>0</v>
      </c>
      <c r="O33" s="368">
        <v>0</v>
      </c>
      <c r="P33" s="332">
        <f>SUM(D33:O33)</f>
        <v>154263</v>
      </c>
      <c r="Q33" s="333" t="s">
        <v>180</v>
      </c>
      <c r="R33" s="317" t="str">
        <f>C33</f>
        <v>Park Space</v>
      </c>
      <c r="S33" s="48"/>
      <c r="T33" s="48"/>
      <c r="U33" s="48"/>
      <c r="V33" s="48"/>
      <c r="W33" s="48"/>
      <c r="X33" s="48"/>
      <c r="Y33" s="48"/>
    </row>
    <row r="34" spans="2:25">
      <c r="B34" s="365"/>
      <c r="C34" s="366" t="s">
        <v>212</v>
      </c>
      <c r="D34" s="367">
        <v>0</v>
      </c>
      <c r="E34" s="369">
        <v>0</v>
      </c>
      <c r="F34" s="369">
        <v>0</v>
      </c>
      <c r="G34" s="369">
        <v>0</v>
      </c>
      <c r="H34" s="369">
        <v>0</v>
      </c>
      <c r="I34" s="370">
        <v>0</v>
      </c>
      <c r="J34" s="370">
        <v>0</v>
      </c>
      <c r="K34" s="370">
        <v>0</v>
      </c>
      <c r="L34" s="371">
        <v>20000</v>
      </c>
      <c r="M34" s="371">
        <v>0</v>
      </c>
      <c r="N34" s="371">
        <v>0</v>
      </c>
      <c r="O34" s="368">
        <v>0</v>
      </c>
      <c r="P34" s="332">
        <f>SUM(D34:O34)</f>
        <v>20000</v>
      </c>
      <c r="Q34" s="333" t="s">
        <v>180</v>
      </c>
      <c r="R34" s="317" t="str">
        <f>C34</f>
        <v>Amphitheater</v>
      </c>
      <c r="S34" s="48"/>
      <c r="T34" s="48"/>
      <c r="U34" s="48"/>
      <c r="V34" s="48"/>
      <c r="W34" s="48"/>
      <c r="X34" s="48"/>
      <c r="Y34" s="48"/>
    </row>
    <row r="35" spans="2:25">
      <c r="B35" s="365"/>
      <c r="C35" s="366" t="s">
        <v>213</v>
      </c>
      <c r="D35" s="367">
        <v>0</v>
      </c>
      <c r="E35" s="369">
        <v>0</v>
      </c>
      <c r="F35" s="369">
        <v>0</v>
      </c>
      <c r="G35" s="369">
        <v>0</v>
      </c>
      <c r="H35" s="369">
        <v>0</v>
      </c>
      <c r="I35" s="370">
        <v>0</v>
      </c>
      <c r="J35" s="370">
        <v>0</v>
      </c>
      <c r="K35" s="370">
        <v>0</v>
      </c>
      <c r="L35" s="371">
        <v>56000</v>
      </c>
      <c r="M35" s="371">
        <v>0</v>
      </c>
      <c r="N35" s="371">
        <v>0</v>
      </c>
      <c r="O35" s="368">
        <v>0</v>
      </c>
      <c r="P35" s="332">
        <f>SUM(D35:O35)</f>
        <v>56000</v>
      </c>
      <c r="Q35" s="333" t="s">
        <v>180</v>
      </c>
      <c r="R35" s="317" t="str">
        <f>C35</f>
        <v>Community Garden</v>
      </c>
      <c r="S35" s="48"/>
      <c r="T35" s="48"/>
      <c r="U35" s="48"/>
      <c r="V35" s="48"/>
      <c r="W35" s="48"/>
      <c r="X35" s="48"/>
      <c r="Y35" s="48"/>
    </row>
    <row r="36" spans="2:25" ht="15.95" thickBot="1">
      <c r="B36" s="365"/>
      <c r="C36" s="366" t="s">
        <v>214</v>
      </c>
      <c r="D36" s="372">
        <v>0</v>
      </c>
      <c r="E36" s="373">
        <v>0</v>
      </c>
      <c r="F36" s="373">
        <v>0</v>
      </c>
      <c r="G36" s="373">
        <v>0</v>
      </c>
      <c r="H36" s="373">
        <v>0</v>
      </c>
      <c r="I36" s="374">
        <v>0</v>
      </c>
      <c r="J36" s="374">
        <v>0</v>
      </c>
      <c r="K36" s="374">
        <v>0</v>
      </c>
      <c r="L36" s="375">
        <v>0</v>
      </c>
      <c r="M36" s="375">
        <v>0</v>
      </c>
      <c r="N36" s="375">
        <v>0</v>
      </c>
      <c r="O36" s="376">
        <v>50850</v>
      </c>
      <c r="P36" s="354">
        <f>SUM(D36:O36)</f>
        <v>50850</v>
      </c>
      <c r="Q36" s="333" t="s">
        <v>180</v>
      </c>
      <c r="R36" s="317" t="str">
        <f>C36</f>
        <v>Green Ballpark street</v>
      </c>
      <c r="S36" s="48"/>
      <c r="T36" s="48"/>
      <c r="U36" s="48"/>
      <c r="V36" s="48"/>
      <c r="W36" s="48"/>
      <c r="X36" s="48"/>
      <c r="Y36" s="48"/>
    </row>
    <row r="37" spans="2:25" ht="15.95" thickBot="1">
      <c r="S37" s="48"/>
      <c r="T37" s="48"/>
      <c r="U37" s="48"/>
      <c r="V37" s="48"/>
      <c r="W37" s="48"/>
      <c r="X37" s="48"/>
      <c r="Y37" s="48"/>
    </row>
    <row r="38" spans="2:25" ht="15.95" thickBot="1">
      <c r="D38" s="657" t="s">
        <v>215</v>
      </c>
      <c r="E38" s="658"/>
      <c r="F38" s="658"/>
      <c r="G38" s="658"/>
      <c r="H38" s="658"/>
      <c r="I38" s="658"/>
      <c r="J38" s="658"/>
      <c r="K38" s="658"/>
      <c r="L38" s="658"/>
      <c r="M38" s="658"/>
      <c r="N38" s="658"/>
      <c r="O38" s="659"/>
      <c r="P38" s="319"/>
      <c r="Q38" s="319"/>
      <c r="S38" s="48"/>
      <c r="T38" s="48"/>
      <c r="U38" s="48"/>
      <c r="V38" s="48"/>
      <c r="W38" s="48"/>
      <c r="X38" s="48"/>
      <c r="Y38" s="48"/>
    </row>
    <row r="39" spans="2:25" ht="15.95" thickBot="1">
      <c r="D39" s="320" t="s">
        <v>170</v>
      </c>
      <c r="E39" s="660" t="s">
        <v>171</v>
      </c>
      <c r="F39" s="660"/>
      <c r="G39" s="660"/>
      <c r="H39" s="660"/>
      <c r="I39" s="661" t="s">
        <v>172</v>
      </c>
      <c r="J39" s="661"/>
      <c r="K39" s="661"/>
      <c r="L39" s="662" t="s">
        <v>173</v>
      </c>
      <c r="M39" s="663"/>
      <c r="N39" s="664"/>
      <c r="O39" s="321" t="s">
        <v>174</v>
      </c>
      <c r="S39" s="48"/>
      <c r="T39" s="48"/>
      <c r="U39" s="48"/>
      <c r="V39" s="48"/>
      <c r="W39" s="48"/>
      <c r="X39" s="48"/>
      <c r="Y39" s="48"/>
    </row>
    <row r="40" spans="2:25">
      <c r="C40" s="212"/>
      <c r="D40" s="217" t="s">
        <v>175</v>
      </c>
      <c r="E40" s="216">
        <v>2024</v>
      </c>
      <c r="F40" s="216">
        <v>2025</v>
      </c>
      <c r="G40" s="216">
        <v>2026</v>
      </c>
      <c r="H40" s="216">
        <v>2027</v>
      </c>
      <c r="I40" s="215">
        <v>2028</v>
      </c>
      <c r="J40" s="215">
        <v>2029</v>
      </c>
      <c r="K40" s="215">
        <v>2030</v>
      </c>
      <c r="L40" s="214">
        <v>2031</v>
      </c>
      <c r="M40" s="214">
        <v>2032</v>
      </c>
      <c r="N40" s="214">
        <v>2033</v>
      </c>
      <c r="O40" s="213" t="s">
        <v>176</v>
      </c>
      <c r="P40" s="212"/>
      <c r="Q40" s="212"/>
      <c r="S40" s="48"/>
      <c r="T40" s="48"/>
      <c r="U40" s="48"/>
      <c r="V40" s="48"/>
      <c r="W40" s="48"/>
      <c r="X40" s="48"/>
      <c r="Y40" s="48"/>
    </row>
    <row r="41" spans="2:25">
      <c r="C41" s="212"/>
      <c r="D41" s="336"/>
      <c r="E41" s="377">
        <v>272756</v>
      </c>
      <c r="F41" s="377">
        <v>4228</v>
      </c>
      <c r="G41" s="377">
        <f>24836*6</f>
        <v>149016</v>
      </c>
      <c r="H41" s="377">
        <v>51474</v>
      </c>
      <c r="I41" s="378">
        <v>10970</v>
      </c>
      <c r="J41" s="378">
        <f>23198</f>
        <v>23198</v>
      </c>
      <c r="K41" s="378"/>
      <c r="L41" s="379">
        <v>41346</v>
      </c>
      <c r="M41" s="379">
        <v>74640</v>
      </c>
      <c r="N41" s="379">
        <v>97808</v>
      </c>
      <c r="O41" s="380"/>
      <c r="P41" s="381"/>
      <c r="Q41" s="381"/>
      <c r="S41" s="48"/>
      <c r="T41" s="48"/>
      <c r="U41" s="48"/>
      <c r="V41" s="48"/>
      <c r="W41" s="48"/>
      <c r="X41" s="48"/>
      <c r="Y41" s="48"/>
    </row>
    <row r="42" spans="2:25">
      <c r="C42" s="212"/>
      <c r="D42" s="336"/>
      <c r="E42" s="377"/>
      <c r="F42" s="377">
        <f>15446*6</f>
        <v>92676</v>
      </c>
      <c r="G42" s="377">
        <v>5434</v>
      </c>
      <c r="H42" s="377"/>
      <c r="I42" s="378">
        <f>7382*2</f>
        <v>14764</v>
      </c>
      <c r="J42" s="378"/>
      <c r="K42" s="378"/>
      <c r="L42" s="379">
        <v>16489</v>
      </c>
      <c r="M42" s="379">
        <v>14090</v>
      </c>
      <c r="N42" s="379"/>
      <c r="O42" s="380"/>
      <c r="P42" s="381"/>
      <c r="Q42" s="381"/>
      <c r="S42" s="48"/>
      <c r="T42" s="48"/>
      <c r="U42" s="48"/>
      <c r="V42" s="48"/>
      <c r="W42" s="48"/>
      <c r="X42" s="48"/>
      <c r="Y42" s="48"/>
    </row>
    <row r="43" spans="2:25" ht="15.95" thickBot="1">
      <c r="C43" s="212"/>
      <c r="D43" s="336"/>
      <c r="E43" s="377"/>
      <c r="F43" s="377">
        <f>27774*3</f>
        <v>83322</v>
      </c>
      <c r="G43" s="377"/>
      <c r="H43" s="377"/>
      <c r="I43" s="378">
        <f>5549*3</f>
        <v>16647</v>
      </c>
      <c r="J43" s="378"/>
      <c r="K43" s="378"/>
      <c r="L43" s="379"/>
      <c r="M43" s="379">
        <v>77670</v>
      </c>
      <c r="N43" s="379"/>
      <c r="O43" s="380"/>
      <c r="P43" s="381"/>
      <c r="Q43" s="381"/>
      <c r="S43" s="48"/>
      <c r="T43" s="48"/>
      <c r="U43" s="48"/>
      <c r="V43" s="48"/>
      <c r="W43" s="48"/>
      <c r="X43" s="48"/>
      <c r="Y43" s="48"/>
    </row>
    <row r="44" spans="2:25" ht="15.95" thickBot="1">
      <c r="C44" s="335" t="s">
        <v>216</v>
      </c>
      <c r="D44" s="382">
        <f>SUM(D41:D43)</f>
        <v>0</v>
      </c>
      <c r="E44" s="383">
        <f>SUM(E41:E43)</f>
        <v>272756</v>
      </c>
      <c r="F44" s="383">
        <f>SUM(F41:F43)</f>
        <v>180226</v>
      </c>
      <c r="G44" s="383">
        <f>SUM(G41:G43)</f>
        <v>154450</v>
      </c>
      <c r="H44" s="383">
        <f>SUM(H41:H43)</f>
        <v>51474</v>
      </c>
      <c r="I44" s="383">
        <f>SUM(I41:I43)</f>
        <v>42381</v>
      </c>
      <c r="J44" s="383">
        <f>SUM(J41:J43)</f>
        <v>23198</v>
      </c>
      <c r="K44" s="383">
        <f>SUM(K41:K43)</f>
        <v>0</v>
      </c>
      <c r="L44" s="383">
        <f>SUM(L41:L43)</f>
        <v>57835</v>
      </c>
      <c r="M44" s="383">
        <f>SUM(M41:M43)</f>
        <v>166400</v>
      </c>
      <c r="N44" s="383">
        <f>SUM(N41:N43)</f>
        <v>97808</v>
      </c>
      <c r="O44" s="384">
        <f>SUM(O41:O43)</f>
        <v>0</v>
      </c>
      <c r="P44" s="333"/>
      <c r="Q44" s="333"/>
      <c r="S44" s="48"/>
      <c r="T44" s="48"/>
      <c r="U44" s="48"/>
      <c r="V44" s="48"/>
      <c r="W44" s="48"/>
      <c r="X44" s="48"/>
      <c r="Y44" s="48"/>
    </row>
    <row r="45" spans="2:25" ht="15.95" thickBot="1">
      <c r="S45" s="48"/>
      <c r="T45" s="48"/>
      <c r="U45" s="48"/>
      <c r="V45" s="48"/>
      <c r="W45" s="48"/>
      <c r="X45" s="48"/>
      <c r="Y45" s="48"/>
    </row>
    <row r="46" spans="2:25" ht="15.95" thickBot="1">
      <c r="D46" s="657" t="s">
        <v>217</v>
      </c>
      <c r="E46" s="658"/>
      <c r="F46" s="658"/>
      <c r="G46" s="658"/>
      <c r="H46" s="658"/>
      <c r="I46" s="658"/>
      <c r="J46" s="658"/>
      <c r="K46" s="658"/>
      <c r="L46" s="658"/>
      <c r="M46" s="658"/>
      <c r="N46" s="658"/>
      <c r="O46" s="659"/>
      <c r="P46" s="319"/>
      <c r="Q46" s="319"/>
      <c r="S46" s="48"/>
      <c r="T46" s="48"/>
      <c r="U46" s="48"/>
      <c r="V46" s="48"/>
      <c r="W46" s="48"/>
      <c r="X46" s="48"/>
      <c r="Y46" s="48"/>
    </row>
    <row r="47" spans="2:25" ht="15.95" thickBot="1">
      <c r="D47" s="320" t="s">
        <v>170</v>
      </c>
      <c r="E47" s="660" t="s">
        <v>171</v>
      </c>
      <c r="F47" s="660"/>
      <c r="G47" s="660"/>
      <c r="H47" s="660"/>
      <c r="I47" s="661" t="s">
        <v>172</v>
      </c>
      <c r="J47" s="661"/>
      <c r="K47" s="661"/>
      <c r="L47" s="662" t="s">
        <v>173</v>
      </c>
      <c r="M47" s="663"/>
      <c r="N47" s="664"/>
      <c r="O47" s="321" t="s">
        <v>174</v>
      </c>
      <c r="S47" s="48"/>
      <c r="T47" s="48"/>
      <c r="U47" s="48"/>
      <c r="V47" s="48"/>
      <c r="W47" s="48"/>
      <c r="X47" s="48"/>
      <c r="Y47" s="48"/>
    </row>
    <row r="48" spans="2:25">
      <c r="D48" s="217" t="s">
        <v>175</v>
      </c>
      <c r="E48" s="216">
        <v>2024</v>
      </c>
      <c r="F48" s="216">
        <v>2025</v>
      </c>
      <c r="G48" s="216">
        <v>2026</v>
      </c>
      <c r="H48" s="216">
        <v>2027</v>
      </c>
      <c r="I48" s="215">
        <v>2028</v>
      </c>
      <c r="J48" s="215">
        <v>2029</v>
      </c>
      <c r="K48" s="215">
        <v>2030</v>
      </c>
      <c r="L48" s="214">
        <v>2031</v>
      </c>
      <c r="M48" s="214">
        <v>2032</v>
      </c>
      <c r="N48" s="214">
        <v>2033</v>
      </c>
      <c r="O48" s="213" t="s">
        <v>176</v>
      </c>
      <c r="P48" s="212"/>
      <c r="Q48" s="212"/>
      <c r="S48" s="48"/>
      <c r="T48" s="48"/>
      <c r="U48" s="48"/>
      <c r="V48" s="48"/>
      <c r="W48" s="48"/>
      <c r="X48" s="48"/>
      <c r="Y48" s="48"/>
    </row>
    <row r="49" spans="2:30">
      <c r="B49" s="385"/>
      <c r="C49" s="385" t="s">
        <v>218</v>
      </c>
      <c r="D49" s="344">
        <f>SUM(D6:D6)</f>
        <v>0</v>
      </c>
      <c r="E49" s="345">
        <f>SUM(E6:E6)</f>
        <v>218816</v>
      </c>
      <c r="F49" s="345">
        <f>SUM(F6:F6)</f>
        <v>200187</v>
      </c>
      <c r="G49" s="345">
        <f>SUM(G6:G6)</f>
        <v>152849</v>
      </c>
      <c r="H49" s="345">
        <f>SUM(H6:H6)</f>
        <v>0</v>
      </c>
      <c r="I49" s="345">
        <f>SUM(I6:I6)</f>
        <v>63168</v>
      </c>
      <c r="J49" s="345">
        <f>SUM(J6:J6)</f>
        <v>259979</v>
      </c>
      <c r="K49" s="345">
        <f>SUM(K6:K6)</f>
        <v>163026</v>
      </c>
      <c r="L49" s="345">
        <f>SUM(L6:L6)</f>
        <v>0</v>
      </c>
      <c r="M49" s="345">
        <f>SUM(M6:M6)</f>
        <v>0</v>
      </c>
      <c r="N49" s="345">
        <f>SUM(N6:N6)</f>
        <v>96000</v>
      </c>
      <c r="O49" s="346">
        <f>SUM(O6:O6)</f>
        <v>0</v>
      </c>
      <c r="P49" s="381"/>
      <c r="Q49" s="381"/>
      <c r="S49" s="48"/>
      <c r="T49" s="48"/>
      <c r="U49" s="48"/>
      <c r="V49" s="48"/>
      <c r="W49" s="48"/>
      <c r="X49" s="48"/>
      <c r="Y49" s="48"/>
      <c r="Z49" s="180"/>
      <c r="AA49" s="180"/>
      <c r="AB49" s="180"/>
      <c r="AC49" s="180"/>
      <c r="AD49" s="180"/>
    </row>
    <row r="50" spans="2:30">
      <c r="B50" s="317">
        <v>1</v>
      </c>
      <c r="C50" s="317" t="s">
        <v>219</v>
      </c>
      <c r="D50" s="339">
        <f>(D49/1000)*B50</f>
        <v>0</v>
      </c>
      <c r="E50" s="340">
        <f>(E49/1000)*B50</f>
        <v>218.816</v>
      </c>
      <c r="F50" s="340">
        <f>(F49/1000)*B50</f>
        <v>200.18700000000001</v>
      </c>
      <c r="G50" s="340">
        <f>(G49/1000)*B50</f>
        <v>152.84899999999999</v>
      </c>
      <c r="H50" s="340">
        <f>(H49/1000)*B50</f>
        <v>0</v>
      </c>
      <c r="I50" s="340">
        <f>(I49/1000)*B50</f>
        <v>63.167999999999999</v>
      </c>
      <c r="J50" s="340">
        <f>(J49/1000)*B50</f>
        <v>259.97899999999998</v>
      </c>
      <c r="K50" s="340">
        <f>(K49/1000)*B50</f>
        <v>163.02600000000001</v>
      </c>
      <c r="L50" s="340">
        <f>(L49/1000)*B50</f>
        <v>0</v>
      </c>
      <c r="M50" s="340">
        <f>(M49/1000)*B50</f>
        <v>0</v>
      </c>
      <c r="N50" s="340">
        <f>(N49/1000)*B50</f>
        <v>96</v>
      </c>
      <c r="O50" s="343">
        <f>(O49/1000)*B50</f>
        <v>0</v>
      </c>
      <c r="P50" s="381"/>
      <c r="Q50" s="381"/>
      <c r="S50" s="48"/>
      <c r="T50" s="48"/>
      <c r="U50" s="48"/>
      <c r="V50" s="48"/>
      <c r="W50" s="48"/>
      <c r="X50" s="48"/>
      <c r="Y50" s="48"/>
      <c r="Z50" s="166"/>
      <c r="AA50" s="166"/>
      <c r="AB50" s="166"/>
      <c r="AC50" s="166"/>
      <c r="AD50" s="166"/>
    </row>
    <row r="51" spans="2:30">
      <c r="B51" s="385"/>
      <c r="C51" s="385" t="s">
        <v>220</v>
      </c>
      <c r="D51" s="344">
        <f>SUM(D7:D7)</f>
        <v>0</v>
      </c>
      <c r="E51" s="345">
        <f>SUM(E7:E7)</f>
        <v>0</v>
      </c>
      <c r="F51" s="345">
        <f>SUM(F7:F7)</f>
        <v>0</v>
      </c>
      <c r="G51" s="345">
        <f>SUM(G7:G7)</f>
        <v>0</v>
      </c>
      <c r="H51" s="345">
        <f>SUM(H7:H7)</f>
        <v>312568</v>
      </c>
      <c r="I51" s="345">
        <f>SUM(I7:I7)</f>
        <v>0</v>
      </c>
      <c r="J51" s="345">
        <f>SUM(J7:J7)</f>
        <v>0</v>
      </c>
      <c r="K51" s="345">
        <f>SUM(K7:K7)</f>
        <v>0</v>
      </c>
      <c r="L51" s="345">
        <f>SUM(L7:L7)</f>
        <v>0</v>
      </c>
      <c r="M51" s="345">
        <f>SUM(M7:M7)</f>
        <v>0</v>
      </c>
      <c r="N51" s="345">
        <f>SUM(N7:N7)</f>
        <v>0</v>
      </c>
      <c r="O51" s="346">
        <f>SUM(O7:O7)</f>
        <v>0</v>
      </c>
      <c r="P51" s="381"/>
      <c r="Q51" s="381"/>
      <c r="S51" s="48"/>
      <c r="T51" s="48"/>
      <c r="U51" s="48"/>
      <c r="V51" s="48"/>
      <c r="W51" s="48"/>
      <c r="X51" s="48"/>
      <c r="Y51" s="48"/>
      <c r="Z51" s="166"/>
      <c r="AA51" s="166"/>
      <c r="AB51" s="166"/>
      <c r="AC51" s="166"/>
      <c r="AD51" s="166"/>
    </row>
    <row r="52" spans="2:30">
      <c r="B52" s="386">
        <v>0.5</v>
      </c>
      <c r="C52" s="317" t="s">
        <v>219</v>
      </c>
      <c r="D52" s="339">
        <f>(D51/1000)*B52</f>
        <v>0</v>
      </c>
      <c r="E52" s="340">
        <f>(E51/1000)*B52</f>
        <v>0</v>
      </c>
      <c r="F52" s="340">
        <f>(F51/1000)*B52</f>
        <v>0</v>
      </c>
      <c r="G52" s="340">
        <f>(G51/1000)*B52</f>
        <v>0</v>
      </c>
      <c r="H52" s="340">
        <f>(H51/1000)*B52</f>
        <v>156.28399999999999</v>
      </c>
      <c r="I52" s="340">
        <f>(I51/1000)*B52</f>
        <v>0</v>
      </c>
      <c r="J52" s="340">
        <f>(J51/1000)*B52</f>
        <v>0</v>
      </c>
      <c r="K52" s="340">
        <f>(K51/1000)*B52</f>
        <v>0</v>
      </c>
      <c r="L52" s="340">
        <f>(L51/1000)*B52</f>
        <v>0</v>
      </c>
      <c r="M52" s="340">
        <f>(M51/1000)*B52</f>
        <v>0</v>
      </c>
      <c r="N52" s="340">
        <f>(N51/1000)*B52</f>
        <v>0</v>
      </c>
      <c r="O52" s="343">
        <f>(O51/1000)*B52</f>
        <v>0</v>
      </c>
      <c r="P52" s="317" t="s">
        <v>221</v>
      </c>
      <c r="Q52" s="317"/>
      <c r="S52" s="48"/>
      <c r="T52" s="48"/>
      <c r="U52" s="48"/>
      <c r="V52" s="48"/>
      <c r="W52" s="48"/>
      <c r="X52" s="48"/>
      <c r="Y52" s="48"/>
      <c r="Z52" s="166"/>
      <c r="AA52" s="166"/>
      <c r="AB52" s="166"/>
      <c r="AC52" s="166"/>
      <c r="AD52" s="166"/>
    </row>
    <row r="53" spans="2:30">
      <c r="B53" s="385"/>
      <c r="C53" s="385" t="s">
        <v>222</v>
      </c>
      <c r="D53" s="344">
        <f>D8</f>
        <v>0</v>
      </c>
      <c r="E53" s="345">
        <f>E8</f>
        <v>68071</v>
      </c>
      <c r="F53" s="345">
        <f>F8</f>
        <v>84449</v>
      </c>
      <c r="G53" s="345">
        <f>G8</f>
        <v>100899</v>
      </c>
      <c r="H53" s="345">
        <f>H8</f>
        <v>0</v>
      </c>
      <c r="I53" s="345">
        <f>I8</f>
        <v>0</v>
      </c>
      <c r="J53" s="345">
        <f>J8</f>
        <v>0</v>
      </c>
      <c r="K53" s="345">
        <f>K8</f>
        <v>0</v>
      </c>
      <c r="L53" s="345">
        <f>L8</f>
        <v>0</v>
      </c>
      <c r="M53" s="345">
        <f>M8</f>
        <v>0</v>
      </c>
      <c r="N53" s="345">
        <f>N8</f>
        <v>203917</v>
      </c>
      <c r="O53" s="346">
        <f>O8</f>
        <v>0</v>
      </c>
      <c r="P53" s="381"/>
      <c r="Q53" s="381"/>
      <c r="S53" s="48"/>
      <c r="T53" s="48"/>
      <c r="U53" s="168"/>
      <c r="V53" s="48"/>
      <c r="W53" s="400"/>
      <c r="X53" s="48"/>
      <c r="Y53" s="48"/>
      <c r="Z53" s="166"/>
      <c r="AA53" s="166"/>
      <c r="AB53" s="166"/>
      <c r="AC53" s="166"/>
      <c r="AD53" s="166"/>
    </row>
    <row r="54" spans="2:30">
      <c r="B54" s="317">
        <v>4</v>
      </c>
      <c r="C54" s="317" t="s">
        <v>223</v>
      </c>
      <c r="D54" s="339">
        <f>(D53/1000)*B54</f>
        <v>0</v>
      </c>
      <c r="E54" s="340">
        <f>(E53/1000)*B54</f>
        <v>272.28399999999999</v>
      </c>
      <c r="F54" s="340">
        <f>(F53/1000)*B54</f>
        <v>337.79599999999999</v>
      </c>
      <c r="G54" s="340">
        <f>(G53/1000)*B54</f>
        <v>403.596</v>
      </c>
      <c r="H54" s="340">
        <f>(H53/1000)*B54</f>
        <v>0</v>
      </c>
      <c r="I54" s="340">
        <f>(I53/1000)*B54</f>
        <v>0</v>
      </c>
      <c r="J54" s="340">
        <f>(J53/1000)*B54</f>
        <v>0</v>
      </c>
      <c r="K54" s="340">
        <f>(K53/1000)*B54</f>
        <v>0</v>
      </c>
      <c r="L54" s="340">
        <f>(L53/1000)*B54</f>
        <v>0</v>
      </c>
      <c r="M54" s="340">
        <f>(M53/1000)*B54</f>
        <v>0</v>
      </c>
      <c r="N54" s="340">
        <f>(N53/1000)*B54</f>
        <v>815.66800000000001</v>
      </c>
      <c r="O54" s="343">
        <f>(O53/1000)*B54</f>
        <v>0</v>
      </c>
      <c r="P54" s="381"/>
      <c r="Q54" s="381"/>
      <c r="S54" s="48"/>
      <c r="T54" s="48"/>
      <c r="U54" s="168"/>
      <c r="V54" s="48"/>
      <c r="W54" s="400"/>
      <c r="X54" s="48"/>
      <c r="Y54" s="48"/>
      <c r="Z54" s="166"/>
      <c r="AA54" s="166"/>
      <c r="AB54" s="166"/>
      <c r="AC54" s="166"/>
      <c r="AD54" s="166"/>
    </row>
    <row r="55" spans="2:30">
      <c r="B55" s="385"/>
      <c r="C55" s="385" t="s">
        <v>224</v>
      </c>
      <c r="D55" s="344">
        <f>SUM(D9:D10)</f>
        <v>0</v>
      </c>
      <c r="E55" s="345">
        <f>SUM(E9:E10)</f>
        <v>69115</v>
      </c>
      <c r="F55" s="345">
        <f>SUM(F9:F10)</f>
        <v>67666</v>
      </c>
      <c r="G55" s="345">
        <f>SUM(G9:G10)</f>
        <v>100509</v>
      </c>
      <c r="H55" s="345">
        <f>SUM(H9:H10)</f>
        <v>96707</v>
      </c>
      <c r="I55" s="345">
        <f>SUM(I9:I10)</f>
        <v>79631</v>
      </c>
      <c r="J55" s="345">
        <f>SUM(J9:J10)</f>
        <v>51136</v>
      </c>
      <c r="K55" s="345">
        <f>SUM(K9:K10)</f>
        <v>22552</v>
      </c>
      <c r="L55" s="345">
        <f>SUM(L9:L10)</f>
        <v>0</v>
      </c>
      <c r="M55" s="345">
        <f>SUM(M9:M10)</f>
        <v>30494</v>
      </c>
      <c r="N55" s="345">
        <f>SUM(N9:N10)</f>
        <v>86967</v>
      </c>
      <c r="O55" s="346">
        <f>SUM(O9:O10)</f>
        <v>0</v>
      </c>
      <c r="P55" s="381"/>
      <c r="Q55" s="381"/>
      <c r="S55" s="48"/>
      <c r="T55" s="48"/>
      <c r="U55" s="400"/>
      <c r="V55" s="48"/>
      <c r="W55" s="400"/>
      <c r="X55" s="48"/>
      <c r="Y55" s="48"/>
      <c r="Z55" s="166"/>
      <c r="AA55" s="166"/>
      <c r="AB55" s="166"/>
      <c r="AC55" s="166"/>
      <c r="AD55" s="166"/>
    </row>
    <row r="56" spans="2:30">
      <c r="B56" s="317">
        <v>3</v>
      </c>
      <c r="C56" s="317" t="s">
        <v>223</v>
      </c>
      <c r="D56" s="339">
        <f>(D55/1000)*B56</f>
        <v>0</v>
      </c>
      <c r="E56" s="340">
        <f>(E55/1000)*B56</f>
        <v>207.34499999999997</v>
      </c>
      <c r="F56" s="340">
        <f>(F55/1000)*B56</f>
        <v>202.99799999999999</v>
      </c>
      <c r="G56" s="340">
        <f>(G55/1000)*B56</f>
        <v>301.52699999999999</v>
      </c>
      <c r="H56" s="340">
        <f>(H55/1000)*B56</f>
        <v>290.12099999999998</v>
      </c>
      <c r="I56" s="340">
        <f>(I55/1000)*B56</f>
        <v>238.893</v>
      </c>
      <c r="J56" s="340">
        <f>(J55/1000)*B56</f>
        <v>153.40800000000002</v>
      </c>
      <c r="K56" s="340">
        <f>(K55/1000)*B56</f>
        <v>67.656000000000006</v>
      </c>
      <c r="L56" s="340">
        <f>(L55/1000)*B56</f>
        <v>0</v>
      </c>
      <c r="M56" s="340">
        <f>(M55/1000)*B56</f>
        <v>91.481999999999999</v>
      </c>
      <c r="N56" s="340">
        <f>(N55/1000)*B56</f>
        <v>260.90100000000001</v>
      </c>
      <c r="O56" s="343">
        <f>(O55/1000)*B56</f>
        <v>0</v>
      </c>
      <c r="P56" s="381"/>
      <c r="Q56" s="381"/>
      <c r="S56" s="48"/>
      <c r="T56" s="48"/>
      <c r="U56" s="48"/>
      <c r="V56" s="48"/>
      <c r="W56" s="48"/>
      <c r="X56" s="48"/>
      <c r="Y56" s="48"/>
      <c r="Z56" s="166"/>
      <c r="AA56" s="166"/>
      <c r="AB56" s="166"/>
      <c r="AC56" s="166"/>
      <c r="AD56" s="166"/>
    </row>
    <row r="57" spans="2:30">
      <c r="B57" s="385"/>
      <c r="C57" s="385" t="s">
        <v>225</v>
      </c>
      <c r="D57" s="344">
        <f>D11</f>
        <v>0</v>
      </c>
      <c r="E57" s="345">
        <f>E11</f>
        <v>0</v>
      </c>
      <c r="F57" s="345">
        <f>F11</f>
        <v>0</v>
      </c>
      <c r="G57" s="345">
        <f>G11</f>
        <v>0</v>
      </c>
      <c r="H57" s="345">
        <f>H11</f>
        <v>0</v>
      </c>
      <c r="I57" s="345">
        <f>I11</f>
        <v>0</v>
      </c>
      <c r="J57" s="345">
        <f>J11</f>
        <v>0</v>
      </c>
      <c r="K57" s="345">
        <f>K11</f>
        <v>0</v>
      </c>
      <c r="L57" s="345">
        <f>L11</f>
        <v>0</v>
      </c>
      <c r="M57" s="345">
        <f>M11</f>
        <v>371657</v>
      </c>
      <c r="N57" s="345">
        <f>N11</f>
        <v>0</v>
      </c>
      <c r="O57" s="346">
        <f>O11</f>
        <v>0</v>
      </c>
      <c r="P57" s="381"/>
      <c r="Q57" s="381"/>
      <c r="S57" s="401"/>
      <c r="T57" s="401"/>
      <c r="U57" s="166"/>
      <c r="V57" s="48"/>
      <c r="W57" s="48"/>
      <c r="X57" s="48"/>
      <c r="Y57" s="48"/>
      <c r="Z57" s="166"/>
      <c r="AA57" s="166"/>
      <c r="AB57" s="166"/>
      <c r="AC57" s="166"/>
      <c r="AD57" s="166"/>
    </row>
    <row r="58" spans="2:30">
      <c r="B58" s="317">
        <v>2</v>
      </c>
      <c r="C58" s="317" t="s">
        <v>223</v>
      </c>
      <c r="D58" s="339">
        <f>(D57/1000)*B58</f>
        <v>0</v>
      </c>
      <c r="E58" s="340">
        <f>(E57/1000)*B58</f>
        <v>0</v>
      </c>
      <c r="F58" s="340">
        <f>(F57/1000)*B58</f>
        <v>0</v>
      </c>
      <c r="G58" s="340">
        <f>(G57/1000)*B58</f>
        <v>0</v>
      </c>
      <c r="H58" s="340">
        <f>(H57/1000)*B58</f>
        <v>0</v>
      </c>
      <c r="I58" s="340">
        <f>(I57/1000)*B58</f>
        <v>0</v>
      </c>
      <c r="J58" s="340">
        <f>(J57/1000)*B58</f>
        <v>0</v>
      </c>
      <c r="K58" s="340">
        <f>(K57/1000)*B58</f>
        <v>0</v>
      </c>
      <c r="L58" s="340">
        <f>(L57/1000)*B58</f>
        <v>0</v>
      </c>
      <c r="M58" s="340">
        <f>(M57/1000)*B58</f>
        <v>743.31399999999996</v>
      </c>
      <c r="N58" s="340">
        <f>(N57/1000)*B58</f>
        <v>0</v>
      </c>
      <c r="O58" s="343">
        <f>(O57/1000)*B58</f>
        <v>0</v>
      </c>
      <c r="P58" s="381"/>
      <c r="Q58" s="381"/>
      <c r="S58" s="402"/>
      <c r="T58" s="402"/>
      <c r="U58" s="166"/>
      <c r="V58" s="48"/>
      <c r="W58" s="48"/>
      <c r="X58" s="48"/>
      <c r="Y58" s="48"/>
      <c r="Z58" s="166"/>
      <c r="AA58" s="166"/>
      <c r="AB58" s="166"/>
      <c r="AC58" s="166"/>
      <c r="AD58" s="166"/>
    </row>
    <row r="59" spans="2:30">
      <c r="B59" s="385"/>
      <c r="C59" s="385" t="s">
        <v>226</v>
      </c>
      <c r="D59" s="344">
        <f>D29+D31</f>
        <v>0</v>
      </c>
      <c r="E59" s="345">
        <f>E29+E31</f>
        <v>269542</v>
      </c>
      <c r="F59" s="345">
        <f>F29+F31</f>
        <v>0</v>
      </c>
      <c r="G59" s="345">
        <f>G29+G31</f>
        <v>0</v>
      </c>
      <c r="H59" s="345">
        <f>H29+H31</f>
        <v>0</v>
      </c>
      <c r="I59" s="345">
        <f>I29+I31</f>
        <v>70107</v>
      </c>
      <c r="J59" s="345">
        <f>J29+J31</f>
        <v>0</v>
      </c>
      <c r="K59" s="345">
        <f>K29+K31</f>
        <v>0</v>
      </c>
      <c r="L59" s="345">
        <f>L29+L31</f>
        <v>0</v>
      </c>
      <c r="M59" s="345">
        <f>M29+M31</f>
        <v>0</v>
      </c>
      <c r="N59" s="345">
        <f>N29+N31</f>
        <v>0</v>
      </c>
      <c r="O59" s="346">
        <f>O29+O31</f>
        <v>0</v>
      </c>
      <c r="P59" s="381"/>
      <c r="Q59" s="381"/>
      <c r="S59" s="48"/>
      <c r="T59" s="48"/>
      <c r="U59" s="48"/>
      <c r="V59" s="48"/>
      <c r="W59" s="48"/>
      <c r="X59" s="48"/>
      <c r="Y59" s="48"/>
      <c r="Z59" s="166"/>
      <c r="AA59" s="166"/>
      <c r="AB59" s="166"/>
      <c r="AC59" s="166"/>
      <c r="AD59" s="166"/>
    </row>
    <row r="60" spans="2:30">
      <c r="B60" s="317">
        <v>0.25</v>
      </c>
      <c r="C60" s="317" t="s">
        <v>223</v>
      </c>
      <c r="D60" s="339">
        <f>(D59/1000)*B60</f>
        <v>0</v>
      </c>
      <c r="E60" s="340">
        <f>(E59/1000)*B60</f>
        <v>67.385499999999993</v>
      </c>
      <c r="F60" s="340">
        <f>(F59/1000)*B60</f>
        <v>0</v>
      </c>
      <c r="G60" s="340">
        <f>(G59/1000)*B60</f>
        <v>0</v>
      </c>
      <c r="H60" s="340">
        <f>(H59/1000)*B60</f>
        <v>0</v>
      </c>
      <c r="I60" s="340">
        <f>(I59/1000)*B60</f>
        <v>17.52675</v>
      </c>
      <c r="J60" s="340">
        <f>(J59/1000)*B60</f>
        <v>0</v>
      </c>
      <c r="K60" s="340">
        <f>(K59/1000)*B60</f>
        <v>0</v>
      </c>
      <c r="L60" s="340">
        <f>(L59/1000)*B60</f>
        <v>0</v>
      </c>
      <c r="M60" s="340">
        <f>(M59/1000)*B60</f>
        <v>0</v>
      </c>
      <c r="N60" s="340">
        <f>(N59/1000)*B60</f>
        <v>0</v>
      </c>
      <c r="O60" s="343">
        <f>(O59/1000)*B60</f>
        <v>0</v>
      </c>
      <c r="P60" s="381"/>
      <c r="Q60" s="381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</row>
    <row r="61" spans="2:30">
      <c r="B61" s="385"/>
      <c r="C61" s="385" t="s">
        <v>227</v>
      </c>
      <c r="D61" s="344">
        <f>D34</f>
        <v>0</v>
      </c>
      <c r="E61" s="345">
        <f>E34</f>
        <v>0</v>
      </c>
      <c r="F61" s="345">
        <f>F34</f>
        <v>0</v>
      </c>
      <c r="G61" s="345">
        <f>G34</f>
        <v>0</v>
      </c>
      <c r="H61" s="345">
        <f>H34</f>
        <v>0</v>
      </c>
      <c r="I61" s="345">
        <f>I34</f>
        <v>0</v>
      </c>
      <c r="J61" s="345">
        <f>J34</f>
        <v>0</v>
      </c>
      <c r="K61" s="345">
        <f>K34</f>
        <v>0</v>
      </c>
      <c r="L61" s="345">
        <f>L34</f>
        <v>20000</v>
      </c>
      <c r="M61" s="345">
        <f>M34</f>
        <v>0</v>
      </c>
      <c r="N61" s="345">
        <f>N34</f>
        <v>0</v>
      </c>
      <c r="O61" s="346">
        <f>O34</f>
        <v>0</v>
      </c>
      <c r="P61" s="381"/>
      <c r="Q61" s="381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</row>
    <row r="62" spans="2:30">
      <c r="B62" s="317">
        <v>32</v>
      </c>
      <c r="C62" s="317" t="s">
        <v>223</v>
      </c>
      <c r="D62" s="339">
        <f>(D61/1000)*B62</f>
        <v>0</v>
      </c>
      <c r="E62" s="340">
        <f>(E61/1000)*B62</f>
        <v>0</v>
      </c>
      <c r="F62" s="340">
        <f>(F61/1000)*B62</f>
        <v>0</v>
      </c>
      <c r="G62" s="340">
        <f>(G61/1000)*B62</f>
        <v>0</v>
      </c>
      <c r="H62" s="340">
        <f>(H61/1000)*B62</f>
        <v>0</v>
      </c>
      <c r="I62" s="340">
        <f>(I61/1000)*B62</f>
        <v>0</v>
      </c>
      <c r="J62" s="340">
        <f>(J61/1000)*B62</f>
        <v>0</v>
      </c>
      <c r="K62" s="340">
        <f>(K61/1000)*B62</f>
        <v>0</v>
      </c>
      <c r="L62" s="340">
        <f>(L61/1000)*B62</f>
        <v>640</v>
      </c>
      <c r="M62" s="340">
        <f>(M61/1000)*B62</f>
        <v>0</v>
      </c>
      <c r="N62" s="340">
        <f>(N61/1000)*B62</f>
        <v>0</v>
      </c>
      <c r="O62" s="343">
        <f>(O61/1000)*B62</f>
        <v>0</v>
      </c>
      <c r="P62" s="381"/>
      <c r="Q62" s="381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</row>
    <row r="63" spans="2:30">
      <c r="B63" s="385"/>
      <c r="C63" s="385" t="s">
        <v>228</v>
      </c>
      <c r="D63" s="344">
        <f>D28+D33</f>
        <v>0</v>
      </c>
      <c r="E63" s="345">
        <f>E28+E33</f>
        <v>162219</v>
      </c>
      <c r="F63" s="345">
        <f>F28+F33</f>
        <v>0</v>
      </c>
      <c r="G63" s="345">
        <f>G28+G33</f>
        <v>0</v>
      </c>
      <c r="H63" s="345">
        <f>H28+H33</f>
        <v>0</v>
      </c>
      <c r="I63" s="345">
        <f>I28+I33</f>
        <v>0</v>
      </c>
      <c r="J63" s="345">
        <f>J28+J33</f>
        <v>0</v>
      </c>
      <c r="K63" s="345">
        <f>K28+K33</f>
        <v>0</v>
      </c>
      <c r="L63" s="345">
        <f>L28+L33</f>
        <v>79263</v>
      </c>
      <c r="M63" s="345">
        <f>M28+M33</f>
        <v>0</v>
      </c>
      <c r="N63" s="345">
        <f>N28+N33</f>
        <v>0</v>
      </c>
      <c r="O63" s="346">
        <f>O28+O33</f>
        <v>0</v>
      </c>
      <c r="P63" s="381"/>
      <c r="Q63" s="381"/>
      <c r="S63" s="166"/>
      <c r="T63" s="166"/>
      <c r="U63" s="166"/>
      <c r="V63" s="166"/>
      <c r="W63" s="166"/>
      <c r="X63" s="166"/>
      <c r="Y63" s="166"/>
      <c r="Z63" s="166"/>
      <c r="AA63" s="166"/>
      <c r="AB63" s="166"/>
      <c r="AC63" s="166"/>
      <c r="AD63" s="166"/>
    </row>
    <row r="64" spans="2:30">
      <c r="B64" s="317">
        <v>0.5</v>
      </c>
      <c r="C64" s="317" t="s">
        <v>223</v>
      </c>
      <c r="D64" s="339">
        <f>(D63/1000)*B64</f>
        <v>0</v>
      </c>
      <c r="E64" s="340">
        <f>(E63/1000)*B64</f>
        <v>81.109499999999997</v>
      </c>
      <c r="F64" s="340">
        <f>(F63/1000)*B64</f>
        <v>0</v>
      </c>
      <c r="G64" s="340">
        <f>(G63/1000)*B64</f>
        <v>0</v>
      </c>
      <c r="H64" s="340">
        <f>(H63/1000)*B64</f>
        <v>0</v>
      </c>
      <c r="I64" s="340">
        <f>(I63/1000)*B64</f>
        <v>0</v>
      </c>
      <c r="J64" s="340">
        <f>(J63/1000)*B64</f>
        <v>0</v>
      </c>
      <c r="K64" s="340">
        <f>(K63/1000)*B64</f>
        <v>0</v>
      </c>
      <c r="L64" s="340">
        <f>(L63/1000)*B64</f>
        <v>39.631500000000003</v>
      </c>
      <c r="M64" s="340">
        <f>(M63/1000)*B64</f>
        <v>0</v>
      </c>
      <c r="N64" s="340">
        <f>(N63/1000)*B64</f>
        <v>0</v>
      </c>
      <c r="O64" s="343">
        <f>(O63/1000)*B64</f>
        <v>0</v>
      </c>
      <c r="P64" s="381"/>
      <c r="Q64" s="381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</row>
    <row r="65" spans="2:30">
      <c r="B65" s="385"/>
      <c r="C65" s="385" t="s">
        <v>229</v>
      </c>
      <c r="D65" s="344">
        <f>D32+D30</f>
        <v>0</v>
      </c>
      <c r="E65" s="345">
        <f>E32+E30</f>
        <v>28534</v>
      </c>
      <c r="F65" s="345">
        <f>F32+F30</f>
        <v>0</v>
      </c>
      <c r="G65" s="345">
        <f>G32+G30</f>
        <v>0</v>
      </c>
      <c r="H65" s="345">
        <f>H32+H30</f>
        <v>0</v>
      </c>
      <c r="I65" s="345">
        <f>I32+I30</f>
        <v>74200</v>
      </c>
      <c r="J65" s="345">
        <f>J32+J30</f>
        <v>0</v>
      </c>
      <c r="K65" s="345">
        <f>K32+K30</f>
        <v>0</v>
      </c>
      <c r="L65" s="345">
        <f>L32+L30</f>
        <v>4544</v>
      </c>
      <c r="M65" s="345">
        <f>M32+M30</f>
        <v>0</v>
      </c>
      <c r="N65" s="345">
        <f>N32+N30</f>
        <v>0</v>
      </c>
      <c r="O65" s="346">
        <f>O32+O30</f>
        <v>0</v>
      </c>
      <c r="P65" s="381"/>
      <c r="Q65" s="381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</row>
    <row r="66" spans="2:30" ht="18" customHeight="1">
      <c r="B66" s="317">
        <v>2</v>
      </c>
      <c r="C66" s="317" t="s">
        <v>223</v>
      </c>
      <c r="D66" s="339">
        <f>(D65/1000)*B66</f>
        <v>0</v>
      </c>
      <c r="E66" s="340">
        <f>(E65/1000)*B66</f>
        <v>57.067999999999998</v>
      </c>
      <c r="F66" s="340">
        <f>(F65/1000)*B66</f>
        <v>0</v>
      </c>
      <c r="G66" s="340">
        <f>(G65/1000)*B66</f>
        <v>0</v>
      </c>
      <c r="H66" s="340">
        <f>(H65/1000)*B66</f>
        <v>0</v>
      </c>
      <c r="I66" s="340">
        <f>(I65/1000)*B66</f>
        <v>148.4</v>
      </c>
      <c r="J66" s="340">
        <f>(J65/1000)*B66</f>
        <v>0</v>
      </c>
      <c r="K66" s="340">
        <f>(K65/1000)*B66</f>
        <v>0</v>
      </c>
      <c r="L66" s="340">
        <f>(L65/1000)*B66</f>
        <v>9.0879999999999992</v>
      </c>
      <c r="M66" s="340">
        <f>(M65/1000)*B66</f>
        <v>0</v>
      </c>
      <c r="N66" s="340">
        <f>(N65/1000)*B66</f>
        <v>0</v>
      </c>
      <c r="O66" s="343">
        <f>(O65/1000)*B66</f>
        <v>0</v>
      </c>
      <c r="P66" s="381"/>
      <c r="Q66" s="381"/>
      <c r="S66" s="181"/>
      <c r="T66" s="181"/>
      <c r="U66" s="181"/>
      <c r="V66" s="181"/>
      <c r="W66" s="181"/>
      <c r="X66" s="181"/>
      <c r="Y66" s="181"/>
      <c r="Z66" s="181"/>
      <c r="AA66" s="181"/>
      <c r="AB66" s="181"/>
      <c r="AC66" s="181"/>
      <c r="AD66" s="181"/>
    </row>
    <row r="67" spans="2:30">
      <c r="B67" s="385"/>
      <c r="C67" s="385" t="s">
        <v>230</v>
      </c>
      <c r="D67" s="344">
        <f>D35</f>
        <v>0</v>
      </c>
      <c r="E67" s="345">
        <f>E35</f>
        <v>0</v>
      </c>
      <c r="F67" s="345">
        <f>F35</f>
        <v>0</v>
      </c>
      <c r="G67" s="345">
        <f>G35</f>
        <v>0</v>
      </c>
      <c r="H67" s="345">
        <f>H35</f>
        <v>0</v>
      </c>
      <c r="I67" s="345">
        <f>I35</f>
        <v>0</v>
      </c>
      <c r="J67" s="345">
        <f>J35</f>
        <v>0</v>
      </c>
      <c r="K67" s="345">
        <f>K35</f>
        <v>0</v>
      </c>
      <c r="L67" s="345">
        <f>L35</f>
        <v>56000</v>
      </c>
      <c r="M67" s="345">
        <f>M35</f>
        <v>0</v>
      </c>
      <c r="N67" s="345">
        <f>N35</f>
        <v>0</v>
      </c>
      <c r="O67" s="346">
        <f>O35</f>
        <v>0</v>
      </c>
      <c r="P67" s="381"/>
      <c r="Q67" s="381"/>
    </row>
    <row r="68" spans="2:30" ht="15.95" thickBot="1">
      <c r="B68" s="317">
        <v>0.1</v>
      </c>
      <c r="C68" s="317" t="s">
        <v>223</v>
      </c>
      <c r="D68" s="339">
        <f>(D67/1000)*B68</f>
        <v>0</v>
      </c>
      <c r="E68" s="340">
        <f>(E67/1000)*B68</f>
        <v>0</v>
      </c>
      <c r="F68" s="340">
        <f>(F67/1000)*B68</f>
        <v>0</v>
      </c>
      <c r="G68" s="340">
        <f>(G67/1000)*B68</f>
        <v>0</v>
      </c>
      <c r="H68" s="340">
        <f>(H67/1000)*B68</f>
        <v>0</v>
      </c>
      <c r="I68" s="340">
        <f>(I67/1000)*B68</f>
        <v>0</v>
      </c>
      <c r="J68" s="340">
        <f>(J67/1000)*B68</f>
        <v>0</v>
      </c>
      <c r="K68" s="340">
        <f>(K67/1000)*B68</f>
        <v>0</v>
      </c>
      <c r="L68" s="340">
        <f>(L67/1000)*B68</f>
        <v>5.6000000000000005</v>
      </c>
      <c r="M68" s="340">
        <f>(M67/1000)*B68</f>
        <v>0</v>
      </c>
      <c r="N68" s="340">
        <f>(N67/1000)*B68</f>
        <v>0</v>
      </c>
      <c r="O68" s="343">
        <f>(O67/1000)*B68</f>
        <v>0</v>
      </c>
      <c r="P68" s="381"/>
      <c r="Q68" s="381"/>
    </row>
    <row r="69" spans="2:30" ht="15.95" thickBot="1">
      <c r="D69" s="382">
        <f>D50+D54+D56+D58+D60+D64+D52+D66+D62+D68</f>
        <v>0</v>
      </c>
      <c r="E69" s="383">
        <f>E50+E54+E56+E58+E60+E64+E52+E66+E62+E68</f>
        <v>904.00799999999992</v>
      </c>
      <c r="F69" s="383">
        <f>F50+F54+F56+F58+F60+F64+F52+F66+F62+F68</f>
        <v>740.98099999999999</v>
      </c>
      <c r="G69" s="383">
        <f>G50+G54+G56+G58+G60+G64+G52+G66+G62+G68</f>
        <v>857.97199999999998</v>
      </c>
      <c r="H69" s="383">
        <f>H50+H54+H56+H58+H60+H64+H52+H66+H62+H68</f>
        <v>446.40499999999997</v>
      </c>
      <c r="I69" s="383">
        <f>I50+I54+I56+I58+I60+I64+I52+I66+I62+I68</f>
        <v>467.98775000000001</v>
      </c>
      <c r="J69" s="383">
        <f>J50+J54+J56+J58+J60+J64+J52+J66+J62+J68</f>
        <v>413.387</v>
      </c>
      <c r="K69" s="383">
        <f>K50+K54+K56+K58+K60+K64+K52+K66+K62+K68</f>
        <v>230.68200000000002</v>
      </c>
      <c r="L69" s="383">
        <f>L50+L54+L56+L58+L60+L64+L52+L66+L62+L68</f>
        <v>694.31950000000006</v>
      </c>
      <c r="M69" s="383">
        <f>M50+M54+M56+M58+M60+M64+M52+M66+M62+M68</f>
        <v>834.79599999999994</v>
      </c>
      <c r="N69" s="383">
        <f>N50+N54+N56+N58+N60+N64+N52+N66+N62+N68</f>
        <v>1172.569</v>
      </c>
      <c r="O69" s="384">
        <f>O50+O54+O56+O58+O60+O64+O52+O66+O62+O68</f>
        <v>0</v>
      </c>
      <c r="P69" s="387">
        <f>SUM(D69:O69)</f>
        <v>6763.1072500000009</v>
      </c>
      <c r="Q69" s="317" t="s">
        <v>231</v>
      </c>
    </row>
    <row r="70" spans="2:30" ht="15.95" thickBot="1">
      <c r="P70" s="388">
        <f>-P69*0.3</f>
        <v>-2028.9321750000001</v>
      </c>
      <c r="Q70" s="389" t="s">
        <v>188</v>
      </c>
    </row>
    <row r="71" spans="2:30" ht="15.95" thickBot="1">
      <c r="P71" s="388">
        <f>-P69*0.2</f>
        <v>-1352.6214500000003</v>
      </c>
      <c r="Q71" s="389" t="s">
        <v>232</v>
      </c>
    </row>
    <row r="72" spans="2:30" ht="15.95" thickBot="1">
      <c r="C72" s="366" t="s">
        <v>233</v>
      </c>
      <c r="D72" s="390">
        <f>D69-(D69*0.5)</f>
        <v>0</v>
      </c>
      <c r="E72" s="391">
        <f>E69-(E69*0.5)</f>
        <v>452.00399999999996</v>
      </c>
      <c r="F72" s="391">
        <f>F69-(F69*0.5)</f>
        <v>370.4905</v>
      </c>
      <c r="G72" s="391">
        <f>G69-(G69*0.5)</f>
        <v>428.98599999999999</v>
      </c>
      <c r="H72" s="391">
        <f>H69-(H69*0.5)</f>
        <v>223.20249999999999</v>
      </c>
      <c r="I72" s="391">
        <f>I69-(I69*0.5)</f>
        <v>233.993875</v>
      </c>
      <c r="J72" s="391">
        <f>J69-(J69*0.5)</f>
        <v>206.6935</v>
      </c>
      <c r="K72" s="391">
        <f>K69-(K69*0.5)</f>
        <v>115.34100000000001</v>
      </c>
      <c r="L72" s="391">
        <f>L69-(L69*0.5)</f>
        <v>347.15975000000003</v>
      </c>
      <c r="M72" s="391">
        <f>M69-(M69*0.5)</f>
        <v>417.39799999999997</v>
      </c>
      <c r="N72" s="391">
        <f>N69-(N69*0.5)</f>
        <v>586.28449999999998</v>
      </c>
      <c r="O72" s="392">
        <f>O69-(O69*0.5)</f>
        <v>0</v>
      </c>
      <c r="P72" s="393">
        <f>SUM(P69:P71)</f>
        <v>3381.5536250000005</v>
      </c>
      <c r="Q72" s="317" t="s">
        <v>234</v>
      </c>
    </row>
    <row r="73" spans="2:30" ht="15.95" thickBot="1">
      <c r="C73" s="366" t="s">
        <v>235</v>
      </c>
      <c r="D73" s="394">
        <f>D19</f>
        <v>524.82000000000005</v>
      </c>
      <c r="E73" s="395">
        <f>E19</f>
        <v>522.59428571428566</v>
      </c>
      <c r="F73" s="395">
        <f>F19</f>
        <v>365.32857142857142</v>
      </c>
      <c r="G73" s="395">
        <f>G19</f>
        <v>463.56571428571431</v>
      </c>
      <c r="H73" s="395">
        <f>H19</f>
        <v>295.97142857142859</v>
      </c>
      <c r="I73" s="395">
        <f>I19</f>
        <v>183.81428571428572</v>
      </c>
      <c r="J73" s="395">
        <f>J19</f>
        <v>209.06571428571428</v>
      </c>
      <c r="K73" s="395">
        <f>K19</f>
        <v>128.92571428571429</v>
      </c>
      <c r="L73" s="395">
        <f>L19</f>
        <v>0</v>
      </c>
      <c r="M73" s="395">
        <f>M19</f>
        <v>510.56571428571431</v>
      </c>
      <c r="N73" s="395">
        <f>N19</f>
        <v>539.13714285714286</v>
      </c>
      <c r="O73" s="396">
        <f>O19</f>
        <v>0</v>
      </c>
      <c r="P73" s="397">
        <f>S14</f>
        <v>3743.7885714285712</v>
      </c>
      <c r="Q73" s="317" t="s">
        <v>236</v>
      </c>
    </row>
    <row r="76" spans="2:30">
      <c r="D76" s="141" t="s">
        <v>237</v>
      </c>
      <c r="E76" s="141" t="s">
        <v>156</v>
      </c>
      <c r="F76" s="141" t="s">
        <v>238</v>
      </c>
      <c r="G76" s="141" t="s">
        <v>239</v>
      </c>
      <c r="H76" s="141" t="s">
        <v>240</v>
      </c>
      <c r="I76" s="141" t="s">
        <v>241</v>
      </c>
      <c r="J76" s="141" t="s">
        <v>242</v>
      </c>
      <c r="K76" s="141">
        <v>1</v>
      </c>
      <c r="L76" s="141">
        <v>2</v>
      </c>
      <c r="M76" s="141">
        <v>3</v>
      </c>
    </row>
    <row r="77" spans="2:30">
      <c r="D77" s="407" t="s">
        <v>243</v>
      </c>
      <c r="E77" s="127">
        <v>1</v>
      </c>
      <c r="F77" s="126" t="s">
        <v>244</v>
      </c>
      <c r="G77" s="126" t="s">
        <v>245</v>
      </c>
      <c r="H77" s="143">
        <v>1154025</v>
      </c>
      <c r="I77" s="129">
        <v>12.5</v>
      </c>
      <c r="J77" s="130">
        <f>H77*I77</f>
        <v>14425312.5</v>
      </c>
      <c r="K77" s="131">
        <f>SUM(E6:H6)*I77</f>
        <v>7148150</v>
      </c>
      <c r="L77" s="131">
        <f>SUM(I6:K6)*I77</f>
        <v>6077162.5</v>
      </c>
      <c r="M77" s="131">
        <f>N6*I77</f>
        <v>1200000</v>
      </c>
      <c r="N77" s="415">
        <f>SUM(J77:J87)</f>
        <v>73929524.280000001</v>
      </c>
      <c r="O77" s="398"/>
      <c r="P77" s="399"/>
      <c r="Q77" s="399"/>
    </row>
    <row r="78" spans="2:30">
      <c r="D78" s="407" t="s">
        <v>246</v>
      </c>
      <c r="E78" s="127">
        <v>1</v>
      </c>
      <c r="F78" s="126" t="s">
        <v>244</v>
      </c>
      <c r="G78" s="126" t="s">
        <v>245</v>
      </c>
      <c r="H78" s="128">
        <v>312568</v>
      </c>
      <c r="I78" s="129">
        <v>3.65</v>
      </c>
      <c r="J78" s="130">
        <f>H78*I78</f>
        <v>1140873.2</v>
      </c>
      <c r="K78" s="131">
        <f>J78</f>
        <v>1140873.2</v>
      </c>
      <c r="L78" s="131"/>
      <c r="M78" s="131">
        <f>IF($E78=M$3,$J78,0)*(1+Developerfee)</f>
        <v>0</v>
      </c>
    </row>
    <row r="79" spans="2:30">
      <c r="D79" s="407" t="s">
        <v>25</v>
      </c>
      <c r="E79" s="127">
        <v>1</v>
      </c>
      <c r="F79" s="126" t="s">
        <v>244</v>
      </c>
      <c r="G79" s="126" t="s">
        <v>245</v>
      </c>
      <c r="H79" s="128">
        <v>457336</v>
      </c>
      <c r="I79" s="129">
        <v>59.26</v>
      </c>
      <c r="J79" s="130">
        <f>H79*I79</f>
        <v>27101731.359999999</v>
      </c>
      <c r="K79" s="131">
        <f>SUM(E8:G8)*I79</f>
        <v>15017609.939999999</v>
      </c>
      <c r="L79" s="131">
        <f>IF($E79=L$3,$J79,0)*(1+Developerfee)</f>
        <v>0</v>
      </c>
      <c r="M79" s="131">
        <f>N8*I79</f>
        <v>12084121.42</v>
      </c>
    </row>
    <row r="80" spans="2:30">
      <c r="D80" s="407" t="s">
        <v>247</v>
      </c>
      <c r="E80" s="127">
        <v>1</v>
      </c>
      <c r="F80" s="126" t="s">
        <v>244</v>
      </c>
      <c r="G80" s="126" t="s">
        <v>245</v>
      </c>
      <c r="H80" s="128">
        <v>206397</v>
      </c>
      <c r="I80" s="129">
        <v>59.26</v>
      </c>
      <c r="J80" s="130">
        <f>H80*I80</f>
        <v>12231086.219999999</v>
      </c>
      <c r="K80" s="131">
        <f>SUM(E9:H9)*I80</f>
        <v>5691804.4799999995</v>
      </c>
      <c r="L80" s="131">
        <f>SUM(I9:K9)*I80</f>
        <v>3724787.3</v>
      </c>
      <c r="M80" s="131">
        <f>SUM(L9:N9)*I80</f>
        <v>2814494.44</v>
      </c>
    </row>
    <row r="81" spans="4:13">
      <c r="D81" s="407" t="s">
        <v>187</v>
      </c>
      <c r="E81" s="127">
        <v>3</v>
      </c>
      <c r="F81" s="126" t="s">
        <v>244</v>
      </c>
      <c r="G81" s="126" t="s">
        <v>245</v>
      </c>
      <c r="H81" s="128">
        <f>P11</f>
        <v>371657</v>
      </c>
      <c r="I81" s="129">
        <v>15</v>
      </c>
      <c r="J81" s="130">
        <f>H81*I81</f>
        <v>5574855</v>
      </c>
      <c r="K81" s="131">
        <f>SUM(E11:H11)*I81</f>
        <v>0</v>
      </c>
      <c r="L81" s="131">
        <f>SUM(I11:K11)*I81</f>
        <v>0</v>
      </c>
      <c r="M81" s="131">
        <f>SUM(L10:N10)*I81</f>
        <v>1049505</v>
      </c>
    </row>
    <row r="82" spans="4:13" ht="14.1" customHeight="1">
      <c r="D82" s="407" t="s">
        <v>193</v>
      </c>
      <c r="E82" s="127">
        <v>1</v>
      </c>
      <c r="F82" s="126" t="s">
        <v>244</v>
      </c>
      <c r="G82" s="126" t="s">
        <v>245</v>
      </c>
      <c r="H82" s="128">
        <v>19022</v>
      </c>
      <c r="I82" s="129">
        <v>2</v>
      </c>
      <c r="J82" s="130">
        <f t="shared" ref="J82:J85" si="1">H82*I82</f>
        <v>38044</v>
      </c>
      <c r="K82" s="131">
        <f>SUM(E14:H14)*I82</f>
        <v>0</v>
      </c>
      <c r="L82" s="131">
        <f>SUM(I14:K14)*I82</f>
        <v>18044</v>
      </c>
      <c r="M82" s="131">
        <f>SUM(L14:N14)*I82</f>
        <v>20000</v>
      </c>
    </row>
    <row r="83" spans="4:13">
      <c r="D83" s="407" t="s">
        <v>248</v>
      </c>
      <c r="E83" s="127">
        <v>1</v>
      </c>
      <c r="F83" s="126" t="s">
        <v>244</v>
      </c>
      <c r="G83" s="126" t="s">
        <v>245</v>
      </c>
      <c r="H83" s="128">
        <v>398380</v>
      </c>
      <c r="I83" s="129">
        <v>2</v>
      </c>
      <c r="J83" s="130">
        <f>H83*I83</f>
        <v>796760</v>
      </c>
      <c r="K83" s="131">
        <f>SUM(E10:H10)*I83</f>
        <v>475898</v>
      </c>
      <c r="L83" s="131">
        <f>SUM(I10:K10)*I83</f>
        <v>180928</v>
      </c>
      <c r="M83" s="131">
        <f>SUM(L11:N11)*I83</f>
        <v>743314</v>
      </c>
    </row>
    <row r="84" spans="4:13">
      <c r="D84" s="407" t="s">
        <v>189</v>
      </c>
      <c r="E84" s="127">
        <v>2</v>
      </c>
      <c r="F84" s="126" t="s">
        <v>244</v>
      </c>
      <c r="G84" s="126" t="s">
        <v>245</v>
      </c>
      <c r="H84" s="128">
        <v>1226969</v>
      </c>
      <c r="I84" s="129">
        <v>2</v>
      </c>
      <c r="J84" s="130">
        <f t="shared" si="1"/>
        <v>2453938</v>
      </c>
      <c r="K84" s="131">
        <f>SUM(E12:H12)*I84</f>
        <v>1153222</v>
      </c>
      <c r="L84" s="131">
        <f>SUM(I12:K12)*I84</f>
        <v>218550</v>
      </c>
      <c r="M84" s="131">
        <f>SUM(L12:N12)*I84</f>
        <v>714792</v>
      </c>
    </row>
    <row r="85" spans="4:13">
      <c r="D85" s="411" t="s">
        <v>102</v>
      </c>
      <c r="E85" s="127">
        <v>1</v>
      </c>
      <c r="F85" s="126" t="s">
        <v>244</v>
      </c>
      <c r="G85" s="126" t="s">
        <v>245</v>
      </c>
      <c r="H85" s="128">
        <v>1046528</v>
      </c>
      <c r="I85" s="129">
        <v>8</v>
      </c>
      <c r="J85" s="130">
        <f>H85*I85</f>
        <v>8372224</v>
      </c>
      <c r="K85" s="131">
        <f>SUM(E20:H20)*I85</f>
        <v>5271248</v>
      </c>
      <c r="L85" s="131">
        <f>SUM(I20:K20)*I85</f>
        <v>524632</v>
      </c>
      <c r="M85" s="131">
        <f>SUM(L20:N20)*I85</f>
        <v>2576344</v>
      </c>
    </row>
    <row r="86" spans="4:13">
      <c r="D86" s="411" t="s">
        <v>199</v>
      </c>
      <c r="E86" s="127">
        <v>1</v>
      </c>
      <c r="F86" s="126" t="s">
        <v>244</v>
      </c>
      <c r="G86" s="126" t="s">
        <v>245</v>
      </c>
      <c r="H86" s="128">
        <v>183687</v>
      </c>
      <c r="I86" s="129">
        <v>8</v>
      </c>
      <c r="J86" s="130">
        <v>0</v>
      </c>
      <c r="K86" s="131">
        <v>0</v>
      </c>
      <c r="L86" s="131">
        <v>0</v>
      </c>
      <c r="M86" s="131">
        <v>0</v>
      </c>
    </row>
    <row r="87" spans="4:13">
      <c r="D87" s="411" t="s">
        <v>200</v>
      </c>
      <c r="E87" s="127">
        <v>1</v>
      </c>
      <c r="F87" s="126" t="s">
        <v>244</v>
      </c>
      <c r="G87" s="126" t="s">
        <v>245</v>
      </c>
      <c r="H87" s="128">
        <v>131000</v>
      </c>
      <c r="I87" s="129">
        <v>13.7</v>
      </c>
      <c r="J87" s="130">
        <f>H87*I87</f>
        <v>1794700</v>
      </c>
      <c r="K87" s="131">
        <f>SUM(E22:H22)*I87</f>
        <v>1027500</v>
      </c>
      <c r="L87" s="131">
        <f>SUM(I22:K22)*I87</f>
        <v>0</v>
      </c>
      <c r="M87" s="131">
        <f>SUM(L22:N22)*I87</f>
        <v>767200</v>
      </c>
    </row>
    <row r="88" spans="4:13">
      <c r="D88" s="408" t="s">
        <v>249</v>
      </c>
      <c r="E88" s="127">
        <v>1</v>
      </c>
      <c r="F88" s="126" t="s">
        <v>244</v>
      </c>
      <c r="G88" s="126" t="s">
        <v>245</v>
      </c>
      <c r="H88" s="409">
        <v>4500</v>
      </c>
      <c r="I88" s="129">
        <v>150</v>
      </c>
      <c r="J88" s="130">
        <f>I88*H88</f>
        <v>675000</v>
      </c>
      <c r="K88" s="131">
        <f>SUM(E26:H26)*I88</f>
        <v>675000</v>
      </c>
      <c r="L88" s="131">
        <v>0</v>
      </c>
      <c r="M88" s="131">
        <v>0</v>
      </c>
    </row>
    <row r="89" spans="4:13">
      <c r="D89" s="408" t="s">
        <v>205</v>
      </c>
      <c r="E89" s="127">
        <v>1</v>
      </c>
      <c r="F89" s="126" t="s">
        <v>244</v>
      </c>
      <c r="G89" s="126" t="s">
        <v>245</v>
      </c>
      <c r="H89" s="409">
        <v>4125</v>
      </c>
      <c r="I89" s="129">
        <v>150</v>
      </c>
      <c r="J89" s="130">
        <f>I89*H89</f>
        <v>618750</v>
      </c>
      <c r="K89" s="131">
        <f>SUM(E27:H27)*I89</f>
        <v>618750</v>
      </c>
      <c r="L89" s="131">
        <v>0</v>
      </c>
      <c r="M89" s="131">
        <v>0</v>
      </c>
    </row>
    <row r="90" spans="4:13">
      <c r="D90" s="408"/>
      <c r="E90" s="127"/>
      <c r="F90" s="126"/>
      <c r="G90" s="126"/>
      <c r="H90" s="409"/>
      <c r="I90" s="129"/>
      <c r="J90" s="130"/>
      <c r="K90" s="131"/>
      <c r="L90" s="131"/>
      <c r="M90" s="131"/>
    </row>
    <row r="91" spans="4:13">
      <c r="D91" s="408"/>
      <c r="E91" s="127"/>
      <c r="F91" s="126"/>
      <c r="G91" s="126"/>
      <c r="H91" s="409"/>
      <c r="I91" s="129"/>
      <c r="J91" s="130"/>
      <c r="K91" s="131"/>
      <c r="L91" s="131"/>
      <c r="M91" s="131"/>
    </row>
    <row r="92" spans="4:13">
      <c r="D92" s="408"/>
      <c r="E92" s="127"/>
      <c r="F92" s="126"/>
      <c r="G92" s="126"/>
      <c r="H92" s="409"/>
      <c r="I92" s="129"/>
      <c r="J92" s="130"/>
      <c r="K92" s="131"/>
      <c r="L92" s="131"/>
      <c r="M92" s="131"/>
    </row>
    <row r="93" spans="4:13">
      <c r="D93" s="406"/>
      <c r="E93" s="127"/>
      <c r="F93" s="126"/>
      <c r="G93" s="126"/>
      <c r="H93" s="409"/>
      <c r="J93" s="130"/>
      <c r="K93" s="131"/>
      <c r="L93" s="131"/>
      <c r="M93" s="131"/>
    </row>
    <row r="94" spans="4:13">
      <c r="D94" s="406"/>
      <c r="E94" s="127"/>
      <c r="F94" s="126"/>
      <c r="G94" s="126"/>
      <c r="H94" s="409"/>
      <c r="J94" s="130"/>
      <c r="K94" s="131"/>
      <c r="L94" s="131"/>
      <c r="M94" s="131"/>
    </row>
    <row r="95" spans="4:13">
      <c r="D95" s="406"/>
      <c r="E95" s="127"/>
      <c r="F95" s="126"/>
      <c r="G95" s="126"/>
      <c r="H95" s="409"/>
      <c r="J95" s="130"/>
      <c r="K95" s="131"/>
      <c r="L95" s="131"/>
      <c r="M95" s="131"/>
    </row>
    <row r="96" spans="4:13">
      <c r="D96" s="406"/>
      <c r="E96" s="127"/>
      <c r="F96" s="126"/>
      <c r="G96" s="126"/>
      <c r="H96" s="409"/>
      <c r="J96" s="130"/>
      <c r="K96" s="131"/>
      <c r="L96" s="131"/>
      <c r="M96" s="131"/>
    </row>
    <row r="97" spans="3:13">
      <c r="D97" s="406"/>
      <c r="E97" s="127"/>
      <c r="F97" s="126"/>
      <c r="G97" s="126"/>
      <c r="H97" s="409"/>
      <c r="J97" s="130"/>
      <c r="K97" s="131"/>
      <c r="L97" s="131"/>
      <c r="M97" s="131"/>
    </row>
    <row r="98" spans="3:13">
      <c r="D98" s="406"/>
      <c r="E98" s="127"/>
      <c r="F98" s="126"/>
      <c r="G98" s="126"/>
      <c r="H98" s="409"/>
      <c r="J98" s="130"/>
      <c r="K98" s="131"/>
      <c r="L98" s="131"/>
      <c r="M98" s="131"/>
    </row>
    <row r="99" spans="3:13">
      <c r="D99" s="407"/>
      <c r="E99" s="127"/>
      <c r="F99" s="126"/>
      <c r="G99" s="126"/>
      <c r="H99" s="128"/>
      <c r="I99" s="129"/>
      <c r="J99" s="130"/>
      <c r="K99" s="131"/>
      <c r="L99" s="131"/>
      <c r="M99" s="131"/>
    </row>
    <row r="100" spans="3:13">
      <c r="E100" s="127"/>
      <c r="F100" s="126"/>
      <c r="G100" s="126"/>
      <c r="H100" s="128"/>
      <c r="I100" s="129"/>
      <c r="J100" s="130"/>
      <c r="K100" s="131"/>
      <c r="L100" s="131"/>
      <c r="M100" s="131"/>
    </row>
    <row r="101" spans="3:13">
      <c r="E101" s="127"/>
      <c r="F101" s="126"/>
      <c r="G101" s="126"/>
      <c r="H101" s="128"/>
      <c r="I101" s="129"/>
      <c r="J101" s="130"/>
      <c r="K101" s="131"/>
      <c r="L101" s="131"/>
      <c r="M101" s="131"/>
    </row>
    <row r="102" spans="3:13">
      <c r="C102" s="366"/>
      <c r="D102" s="410"/>
      <c r="E102" s="127"/>
      <c r="F102" s="126"/>
      <c r="G102" s="126"/>
      <c r="H102" s="128"/>
      <c r="I102" s="129"/>
      <c r="J102" s="130"/>
      <c r="K102" s="131"/>
      <c r="L102" s="131"/>
      <c r="M102" s="131"/>
    </row>
    <row r="103" spans="3:13">
      <c r="C103" s="366"/>
    </row>
    <row r="104" spans="3:13">
      <c r="C104" s="366"/>
    </row>
    <row r="105" spans="3:13">
      <c r="C105" s="366"/>
      <c r="D105" s="410"/>
    </row>
  </sheetData>
  <mergeCells count="15">
    <mergeCell ref="D46:O46"/>
    <mergeCell ref="E47:H47"/>
    <mergeCell ref="I47:K47"/>
    <mergeCell ref="L47:N47"/>
    <mergeCell ref="S3:X3"/>
    <mergeCell ref="E23:H23"/>
    <mergeCell ref="D25:O25"/>
    <mergeCell ref="D38:O38"/>
    <mergeCell ref="E39:H39"/>
    <mergeCell ref="I39:K39"/>
    <mergeCell ref="L39:N39"/>
    <mergeCell ref="D3:O3"/>
    <mergeCell ref="E4:H4"/>
    <mergeCell ref="I4:K4"/>
    <mergeCell ref="L4:N4"/>
  </mergeCells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D9822-5D37-4156-8E9B-BBB7BBE6AAD0}">
  <sheetPr>
    <tabColor theme="6" tint="0.79998168889431442"/>
  </sheetPr>
  <dimension ref="A1:M94"/>
  <sheetViews>
    <sheetView topLeftCell="A6" workbookViewId="0">
      <selection activeCell="C22" sqref="C22"/>
    </sheetView>
  </sheetViews>
  <sheetFormatPr defaultColWidth="9" defaultRowHeight="12.95"/>
  <cols>
    <col min="1" max="1" width="39" customWidth="1"/>
    <col min="2" max="2" width="27.33203125" customWidth="1"/>
    <col min="3" max="3" width="34.83203125" bestFit="1" customWidth="1"/>
    <col min="4" max="4" width="27" bestFit="1" customWidth="1"/>
    <col min="5" max="5" width="42.6640625" bestFit="1" customWidth="1"/>
    <col min="6" max="6" width="24.83203125" customWidth="1"/>
    <col min="7" max="7" width="23.6640625" customWidth="1"/>
    <col min="8" max="8" width="9.1640625" customWidth="1"/>
    <col min="9" max="9" width="9.83203125" bestFit="1" customWidth="1"/>
    <col min="10" max="10" width="9.1640625" bestFit="1" customWidth="1"/>
    <col min="11" max="12" width="9.83203125" bestFit="1" customWidth="1"/>
    <col min="13" max="13" width="16.33203125" customWidth="1"/>
  </cols>
  <sheetData>
    <row r="1" spans="1:5">
      <c r="A1" s="102" t="s">
        <v>250</v>
      </c>
    </row>
    <row r="2" spans="1:5">
      <c r="A2" s="70" t="s">
        <v>251</v>
      </c>
      <c r="B2">
        <v>34000</v>
      </c>
      <c r="C2" s="70" t="s">
        <v>252</v>
      </c>
    </row>
    <row r="3" spans="1:5">
      <c r="A3" s="70" t="s">
        <v>253</v>
      </c>
      <c r="B3">
        <v>28000</v>
      </c>
      <c r="C3" s="70"/>
    </row>
    <row r="4" spans="1:5">
      <c r="A4" s="70" t="s">
        <v>254</v>
      </c>
      <c r="B4">
        <v>5</v>
      </c>
      <c r="C4" s="70" t="s">
        <v>255</v>
      </c>
      <c r="D4" s="17">
        <v>0.14000000000000001</v>
      </c>
    </row>
    <row r="5" spans="1:5">
      <c r="A5" s="70" t="s">
        <v>256</v>
      </c>
      <c r="B5">
        <f>B8</f>
        <v>680300</v>
      </c>
      <c r="C5" s="70" t="s">
        <v>257</v>
      </c>
      <c r="D5" s="121">
        <v>1.3741E-2</v>
      </c>
      <c r="E5" s="70" t="s">
        <v>258</v>
      </c>
    </row>
    <row r="6" spans="1:5" ht="14.1" thickBot="1">
      <c r="A6" s="70"/>
      <c r="C6" s="70" t="s">
        <v>259</v>
      </c>
      <c r="D6" s="17">
        <v>0.04</v>
      </c>
    </row>
    <row r="7" spans="1:5" ht="14.1" thickBot="1">
      <c r="A7" s="681" t="s">
        <v>260</v>
      </c>
      <c r="B7" s="682"/>
      <c r="C7" s="70" t="s">
        <v>261</v>
      </c>
      <c r="D7">
        <v>39</v>
      </c>
    </row>
    <row r="8" spans="1:5">
      <c r="A8" s="487" t="s">
        <v>256</v>
      </c>
      <c r="B8" s="488">
        <v>680300</v>
      </c>
      <c r="C8" s="70" t="s">
        <v>262</v>
      </c>
      <c r="D8">
        <v>1</v>
      </c>
    </row>
    <row r="9" spans="1:5">
      <c r="A9" s="487" t="s">
        <v>263</v>
      </c>
      <c r="B9" s="488">
        <v>1000</v>
      </c>
      <c r="C9" s="70" t="s">
        <v>264</v>
      </c>
      <c r="D9" s="9">
        <v>11</v>
      </c>
      <c r="E9" s="9">
        <f>D9*B5</f>
        <v>7483300</v>
      </c>
    </row>
    <row r="10" spans="1:5">
      <c r="A10" s="487" t="s">
        <v>265</v>
      </c>
      <c r="B10" s="489">
        <f>B8/B9</f>
        <v>680.3</v>
      </c>
      <c r="C10" s="70" t="s">
        <v>266</v>
      </c>
      <c r="D10" s="13">
        <v>2.5000000000000001E-2</v>
      </c>
    </row>
    <row r="11" spans="1:5">
      <c r="A11" s="487" t="s">
        <v>267</v>
      </c>
      <c r="B11" s="488">
        <v>200</v>
      </c>
      <c r="C11" s="70" t="s">
        <v>268</v>
      </c>
      <c r="D11" s="7">
        <v>325</v>
      </c>
    </row>
    <row r="12" spans="1:5">
      <c r="A12" s="487" t="s">
        <v>269</v>
      </c>
      <c r="B12" s="490">
        <v>0</v>
      </c>
      <c r="C12" s="70" t="s">
        <v>270</v>
      </c>
      <c r="D12" s="36">
        <f>(Cost!E27+Cost!E4+Cost!E5+Cost!E6+Cost!E9)/B5</f>
        <v>167.77222178450683</v>
      </c>
    </row>
    <row r="13" spans="1:5">
      <c r="A13" s="487" t="s">
        <v>271</v>
      </c>
      <c r="B13" s="490">
        <v>5000</v>
      </c>
      <c r="C13" s="70" t="s">
        <v>272</v>
      </c>
      <c r="D13" s="8">
        <v>2000000</v>
      </c>
    </row>
    <row r="14" spans="1:5">
      <c r="A14" s="487" t="s">
        <v>273</v>
      </c>
      <c r="B14" s="490">
        <f>B10*B13</f>
        <v>3401500</v>
      </c>
      <c r="C14" s="70" t="s">
        <v>15</v>
      </c>
      <c r="D14" s="184">
        <v>0.33500000000000002</v>
      </c>
    </row>
    <row r="15" spans="1:5">
      <c r="A15" s="487" t="s">
        <v>274</v>
      </c>
      <c r="B15" s="490">
        <v>2900</v>
      </c>
      <c r="C15" t="s">
        <v>275</v>
      </c>
      <c r="E15" s="70" t="s">
        <v>276</v>
      </c>
    </row>
    <row r="16" spans="1:5">
      <c r="A16" s="487" t="s">
        <v>277</v>
      </c>
      <c r="B16" s="491">
        <v>1.4999999999999999E-2</v>
      </c>
      <c r="C16" s="70" t="s">
        <v>278</v>
      </c>
      <c r="D16" s="17">
        <v>0.7</v>
      </c>
    </row>
    <row r="17" spans="1:13">
      <c r="A17" s="487" t="s">
        <v>279</v>
      </c>
      <c r="B17" s="491">
        <v>0.02</v>
      </c>
      <c r="C17" s="70" t="s">
        <v>280</v>
      </c>
      <c r="D17" s="13">
        <v>4.4999999999999998E-2</v>
      </c>
    </row>
    <row r="18" spans="1:13">
      <c r="A18" s="487" t="s">
        <v>281</v>
      </c>
      <c r="B18" s="488">
        <v>1</v>
      </c>
      <c r="C18" t="s">
        <v>282</v>
      </c>
      <c r="D18">
        <f>25*12</f>
        <v>300</v>
      </c>
    </row>
    <row r="19" spans="1:13">
      <c r="A19" s="487" t="s">
        <v>6</v>
      </c>
      <c r="B19" s="492">
        <v>5.8299999999999998E-2</v>
      </c>
      <c r="C19" t="s">
        <v>283</v>
      </c>
      <c r="D19">
        <v>120</v>
      </c>
    </row>
    <row r="20" spans="1:13">
      <c r="A20" s="487" t="s">
        <v>284</v>
      </c>
      <c r="B20" s="492">
        <v>0.03</v>
      </c>
      <c r="C20" s="70" t="s">
        <v>285</v>
      </c>
      <c r="D20">
        <v>1950</v>
      </c>
    </row>
    <row r="21" spans="1:13" ht="14.1" thickBot="1">
      <c r="A21" s="493" t="s">
        <v>286</v>
      </c>
      <c r="B21" s="494">
        <f>B8*0.93</f>
        <v>632679</v>
      </c>
      <c r="C21" s="70" t="s">
        <v>287</v>
      </c>
      <c r="D21" s="13">
        <v>0.14829999999999999</v>
      </c>
    </row>
    <row r="22" spans="1:13" ht="14.1" thickBot="1">
      <c r="A22" s="70"/>
    </row>
    <row r="23" spans="1:13">
      <c r="A23" s="679" t="s">
        <v>14</v>
      </c>
      <c r="B23" s="680"/>
    </row>
    <row r="24" spans="1:13">
      <c r="A24" s="482" t="s">
        <v>256</v>
      </c>
      <c r="B24" s="480">
        <v>260000</v>
      </c>
      <c r="C24" t="s">
        <v>288</v>
      </c>
      <c r="D24" s="13">
        <v>0.10249999999999999</v>
      </c>
    </row>
    <row r="25" spans="1:13">
      <c r="A25" s="482" t="s">
        <v>289</v>
      </c>
      <c r="B25" s="481">
        <v>60</v>
      </c>
    </row>
    <row r="26" spans="1:13">
      <c r="A26" s="482" t="s">
        <v>290</v>
      </c>
      <c r="B26" s="481">
        <f>B25*0.73</f>
        <v>43.8</v>
      </c>
      <c r="C26" s="70" t="s">
        <v>291</v>
      </c>
    </row>
    <row r="27" spans="1:13">
      <c r="A27" s="482" t="s">
        <v>273</v>
      </c>
      <c r="B27" s="481">
        <f>B26*B24</f>
        <v>11388000</v>
      </c>
      <c r="D27" s="9"/>
    </row>
    <row r="28" spans="1:13">
      <c r="A28" s="482" t="s">
        <v>292</v>
      </c>
      <c r="B28" s="481">
        <v>10</v>
      </c>
      <c r="C28" s="70" t="s">
        <v>293</v>
      </c>
      <c r="D28" s="70" t="s">
        <v>294</v>
      </c>
      <c r="E28" s="70"/>
    </row>
    <row r="29" spans="1:13">
      <c r="A29" s="479" t="s">
        <v>295</v>
      </c>
      <c r="B29" s="483">
        <v>0.1663</v>
      </c>
      <c r="C29" s="70" t="s">
        <v>296</v>
      </c>
      <c r="E29" s="70"/>
    </row>
    <row r="30" spans="1:13">
      <c r="A30" s="479" t="s">
        <v>279</v>
      </c>
      <c r="B30" s="484">
        <v>0.03</v>
      </c>
    </row>
    <row r="31" spans="1:13">
      <c r="A31" s="479" t="s">
        <v>297</v>
      </c>
      <c r="B31" s="480">
        <v>1</v>
      </c>
      <c r="D31" s="54">
        <v>2024</v>
      </c>
      <c r="E31" s="54">
        <v>2025</v>
      </c>
      <c r="F31" s="54">
        <v>2026</v>
      </c>
      <c r="G31" s="54">
        <v>2027</v>
      </c>
      <c r="H31" s="425">
        <v>2028</v>
      </c>
      <c r="I31" s="54">
        <v>2029</v>
      </c>
      <c r="J31" s="425">
        <v>2030</v>
      </c>
      <c r="K31" s="54">
        <v>2031</v>
      </c>
      <c r="L31" s="54">
        <v>2032</v>
      </c>
      <c r="M31" s="425">
        <v>2033</v>
      </c>
    </row>
    <row r="32" spans="1:13">
      <c r="A32" s="479" t="s">
        <v>6</v>
      </c>
      <c r="B32" s="483">
        <v>8.6999999999999994E-2</v>
      </c>
      <c r="C32" s="70" t="s">
        <v>298</v>
      </c>
      <c r="D32" s="183">
        <f>'Affordable Housing NOI'!E22+'Market Housing NOI'!E22+'Retail NOI'!E22+'Hotel NOI'!E22+'Office NOI'!E22+'Parking NOI'!E25+'Park+Greenspace Space NOI'!E21+'Transit Stop NOI'!E22</f>
        <v>38465077.140000001</v>
      </c>
      <c r="E32" s="183">
        <f>'Affordable Housing NOI'!F22+'Market Housing NOI'!F22+'Retail NOI'!F22+'Hotel NOI'!F22+'Office NOI'!F22+'Parking NOI'!F25+'Park+Greenspace Space NOI'!F21+'Transit Stop NOI'!F22</f>
        <v>11822343.08</v>
      </c>
      <c r="F32" s="183">
        <f>'Affordable Housing NOI'!G22+'Market Housing NOI'!G22+'Retail NOI'!G22+'Hotel NOI'!G22+'Office NOI'!G22+'Parking NOI'!G25+'Park+Greenspace Space NOI'!G21+'Transit Stop NOI'!G22</f>
        <v>12511482.879999999</v>
      </c>
      <c r="G32" s="183">
        <f>'Affordable Housing NOI'!H22+'Market Housing NOI'!H22+'Retail NOI'!H22+'Hotel NOI'!H22+'Office NOI'!H22+'Parking NOI'!H25+'Park+Greenspace Space NOI'!H21+'Transit Stop NOI'!H22</f>
        <v>2640351.3199999998</v>
      </c>
      <c r="H32" s="183">
        <f>'Affordable Housing NOI'!I22+'Market Housing NOI'!I22+'Retail NOI'!I22+'Hotel NOI'!I22+'Office NOI'!I22+'Parking NOI'!I25+'Park+Greenspace Space NOI'!I21+'Transit Stop NOI'!I22</f>
        <v>3958203.62</v>
      </c>
      <c r="I32" s="183">
        <f>'Affordable Housing NOI'!J22+'Market Housing NOI'!J22+'Retail NOI'!J22+'Hotel NOI'!J22+'Office NOI'!J22+'Parking NOI'!J25+'Park+Greenspace Space NOI'!J21+'Transit Stop NOI'!J22</f>
        <v>8409598.6799999997</v>
      </c>
      <c r="J32" s="183">
        <f>'Affordable Housing NOI'!K22+'Market Housing NOI'!K22+'Retail NOI'!K22+'Hotel NOI'!K22+'Office NOI'!K22+'Parking NOI'!K25+'Park+Greenspace Space NOI'!K21+'Transit Stop NOI'!K22</f>
        <v>4346354</v>
      </c>
      <c r="K32" s="183">
        <f>'Affordable Housing NOI'!L22+'Market Housing NOI'!L22+'Retail NOI'!L22+'Hotel NOI'!L22+'Office NOI'!L22+'Parking NOI'!L25+'Park+Greenspace Space NOI'!L21+'Transit Stop NOI'!L22</f>
        <v>0</v>
      </c>
      <c r="L32" s="183">
        <f>'Affordable Housing NOI'!M22+'Market Housing NOI'!M22+'Retail NOI'!M22+'Hotel NOI'!M22+'Office NOI'!M22+'Parking NOI'!M25+'Park+Greenspace Space NOI'!M21+'Transit Stop NOI'!M22</f>
        <v>7723882.2199999997</v>
      </c>
      <c r="M32" s="183">
        <f>'Affordable Housing NOI'!N22+'Market Housing NOI'!N22+'Retail NOI'!N22+'Hotel NOI'!N22+'Office NOI'!N22+'Parking NOI'!N25+'Park+Greenspace Space NOI'!N21+'Transit Stop NOI'!N22</f>
        <v>16899040.640000001</v>
      </c>
    </row>
    <row r="33" spans="1:7" ht="14.1" thickBot="1">
      <c r="A33" s="485" t="s">
        <v>284</v>
      </c>
      <c r="B33" s="486">
        <v>0.03</v>
      </c>
    </row>
    <row r="34" spans="1:7" ht="14.1" thickBot="1"/>
    <row r="35" spans="1:7" ht="14.1" thickBot="1">
      <c r="A35" s="687" t="s">
        <v>25</v>
      </c>
      <c r="B35" s="688"/>
      <c r="C35" s="689" t="s">
        <v>246</v>
      </c>
      <c r="D35" s="690"/>
      <c r="E35" s="691" t="s">
        <v>299</v>
      </c>
      <c r="F35" s="692"/>
    </row>
    <row r="36" spans="1:7">
      <c r="A36" s="495" t="s">
        <v>256</v>
      </c>
      <c r="B36" s="496">
        <v>1147500</v>
      </c>
      <c r="C36" s="471" t="s">
        <v>256</v>
      </c>
      <c r="D36" s="472">
        <v>444750</v>
      </c>
      <c r="E36" s="505" t="s">
        <v>256</v>
      </c>
      <c r="F36" s="506">
        <f>SUM('Square Footage'!P27:P35)</f>
        <v>815259</v>
      </c>
    </row>
    <row r="37" spans="1:7">
      <c r="A37" s="495" t="s">
        <v>300</v>
      </c>
      <c r="B37" s="497">
        <v>52</v>
      </c>
      <c r="C37" s="471" t="s">
        <v>263</v>
      </c>
      <c r="D37" s="472">
        <v>1000</v>
      </c>
      <c r="E37" s="505" t="s">
        <v>301</v>
      </c>
      <c r="F37" s="507">
        <f>'Square Footage'!E27</f>
        <v>87219</v>
      </c>
    </row>
    <row r="38" spans="1:7">
      <c r="A38" s="495" t="s">
        <v>302</v>
      </c>
      <c r="B38" s="497">
        <v>25</v>
      </c>
      <c r="C38" s="471" t="s">
        <v>265</v>
      </c>
      <c r="D38" s="473">
        <f>D36/D37</f>
        <v>444.75</v>
      </c>
      <c r="E38" s="505" t="s">
        <v>303</v>
      </c>
      <c r="F38" s="507">
        <f>'Square Footage'!E28</f>
        <v>269542</v>
      </c>
    </row>
    <row r="39" spans="1:7">
      <c r="A39" s="498" t="s">
        <v>273</v>
      </c>
      <c r="B39" s="497">
        <f>B38*B36</f>
        <v>28687500</v>
      </c>
      <c r="C39" s="471" t="s">
        <v>267</v>
      </c>
      <c r="D39" s="472">
        <v>200</v>
      </c>
      <c r="E39" s="505" t="s">
        <v>304</v>
      </c>
      <c r="F39" s="507">
        <f>'Square Footage'!P29</f>
        <v>33078</v>
      </c>
    </row>
    <row r="40" spans="1:7">
      <c r="A40" s="495" t="s">
        <v>305</v>
      </c>
      <c r="B40" s="497">
        <v>10</v>
      </c>
      <c r="C40" s="471" t="s">
        <v>306</v>
      </c>
      <c r="D40" s="474">
        <v>0</v>
      </c>
      <c r="E40" s="505" t="s">
        <v>307</v>
      </c>
      <c r="F40" s="508">
        <v>0.03</v>
      </c>
    </row>
    <row r="41" spans="1:7">
      <c r="A41" s="495" t="s">
        <v>308</v>
      </c>
      <c r="B41" s="499">
        <v>0.1663</v>
      </c>
      <c r="C41" s="471" t="s">
        <v>309</v>
      </c>
      <c r="D41" s="474">
        <v>25</v>
      </c>
      <c r="E41" s="505" t="s">
        <v>310</v>
      </c>
      <c r="F41" s="509">
        <f>'Park+Greenspace Space NOI'!C33</f>
        <v>27175300</v>
      </c>
    </row>
    <row r="42" spans="1:7">
      <c r="A42" s="495" t="s">
        <v>311</v>
      </c>
      <c r="B42" s="500">
        <v>0.15</v>
      </c>
      <c r="C42" s="471" t="s">
        <v>273</v>
      </c>
      <c r="D42" s="474">
        <f>D41*D36</f>
        <v>11118750</v>
      </c>
      <c r="E42" s="505" t="s">
        <v>312</v>
      </c>
      <c r="F42" s="510">
        <v>50000</v>
      </c>
    </row>
    <row r="43" spans="1:7" ht="14.1" thickBot="1">
      <c r="A43" s="498" t="s">
        <v>297</v>
      </c>
      <c r="B43" s="496">
        <v>1</v>
      </c>
      <c r="C43" s="471" t="s">
        <v>313</v>
      </c>
      <c r="D43" s="474">
        <v>1050</v>
      </c>
      <c r="E43" s="511" t="s">
        <v>314</v>
      </c>
      <c r="F43" s="512">
        <f>F42*G43</f>
        <v>27175300</v>
      </c>
      <c r="G43" s="101">
        <f>F36/1500</f>
        <v>543.50599999999997</v>
      </c>
    </row>
    <row r="44" spans="1:7">
      <c r="A44" s="498" t="s">
        <v>6</v>
      </c>
      <c r="B44" s="501">
        <v>8.2500000000000004E-2</v>
      </c>
      <c r="C44" s="471" t="s">
        <v>308</v>
      </c>
      <c r="D44" s="475">
        <v>1.4999999999999999E-2</v>
      </c>
      <c r="E44" s="70"/>
      <c r="F44" s="9"/>
    </row>
    <row r="45" spans="1:7">
      <c r="A45" s="498" t="s">
        <v>284</v>
      </c>
      <c r="B45" s="501">
        <v>0.03</v>
      </c>
      <c r="C45" s="471" t="s">
        <v>279</v>
      </c>
      <c r="D45" s="475">
        <v>0.02</v>
      </c>
      <c r="E45" s="70"/>
      <c r="F45" s="9"/>
    </row>
    <row r="46" spans="1:7">
      <c r="A46" s="495"/>
      <c r="B46" s="496"/>
      <c r="C46" s="471" t="s">
        <v>281</v>
      </c>
      <c r="D46" s="472">
        <v>1</v>
      </c>
    </row>
    <row r="47" spans="1:7">
      <c r="A47" s="498" t="s">
        <v>30</v>
      </c>
      <c r="B47" s="496">
        <v>0.75</v>
      </c>
      <c r="C47" s="471" t="s">
        <v>6</v>
      </c>
      <c r="D47" s="476">
        <v>5.7500000000000002E-2</v>
      </c>
    </row>
    <row r="48" spans="1:7" ht="14.1" thickBot="1">
      <c r="A48" s="498" t="s">
        <v>315</v>
      </c>
      <c r="B48" s="496">
        <f>B2*B47</f>
        <v>25500</v>
      </c>
      <c r="C48" s="477" t="s">
        <v>284</v>
      </c>
      <c r="D48" s="478">
        <v>0.03</v>
      </c>
    </row>
    <row r="49" spans="1:6" ht="14.1" thickBot="1">
      <c r="A49" s="498" t="s">
        <v>316</v>
      </c>
      <c r="B49" s="497">
        <v>12</v>
      </c>
    </row>
    <row r="50" spans="1:6" ht="14.1" thickBot="1">
      <c r="A50" s="498" t="s">
        <v>317</v>
      </c>
      <c r="B50" s="497">
        <v>10</v>
      </c>
      <c r="C50" s="685" t="s">
        <v>187</v>
      </c>
      <c r="D50" s="686"/>
    </row>
    <row r="51" spans="1:6">
      <c r="A51" s="498" t="s">
        <v>273</v>
      </c>
      <c r="B51" s="497">
        <f>B50*B48</f>
        <v>255000</v>
      </c>
      <c r="C51" s="534" t="s">
        <v>256</v>
      </c>
      <c r="D51" s="535">
        <v>371657</v>
      </c>
    </row>
    <row r="52" spans="1:6">
      <c r="A52" s="498" t="s">
        <v>305</v>
      </c>
      <c r="B52" s="496">
        <v>0</v>
      </c>
      <c r="C52" s="517" t="s">
        <v>318</v>
      </c>
      <c r="D52" s="514">
        <v>1000</v>
      </c>
    </row>
    <row r="53" spans="1:6">
      <c r="A53" s="498" t="s">
        <v>319</v>
      </c>
      <c r="B53" s="499">
        <v>0.09</v>
      </c>
      <c r="C53" s="517" t="s">
        <v>320</v>
      </c>
      <c r="D53" s="513">
        <f>D51/D52</f>
        <v>371.65699999999998</v>
      </c>
      <c r="E53" s="419">
        <f>D53*D54</f>
        <v>5574.8549999999996</v>
      </c>
    </row>
    <row r="54" spans="1:6" ht="14.1" thickBot="1">
      <c r="A54" s="498" t="s">
        <v>321</v>
      </c>
      <c r="B54" s="499">
        <v>7.4999999999999997E-2</v>
      </c>
      <c r="C54" s="517" t="s">
        <v>322</v>
      </c>
      <c r="D54" s="515">
        <v>15</v>
      </c>
    </row>
    <row r="55" spans="1:6" ht="14.1" thickBot="1">
      <c r="A55" s="498" t="s">
        <v>323</v>
      </c>
      <c r="B55" s="496">
        <v>0.5</v>
      </c>
      <c r="C55" s="517" t="s">
        <v>324</v>
      </c>
      <c r="D55" s="516">
        <v>0</v>
      </c>
      <c r="E55" s="683" t="s">
        <v>325</v>
      </c>
      <c r="F55" s="684"/>
    </row>
    <row r="56" spans="1:6">
      <c r="A56" s="495" t="s">
        <v>6</v>
      </c>
      <c r="B56" s="502">
        <v>0.1</v>
      </c>
      <c r="C56" s="517" t="s">
        <v>326</v>
      </c>
      <c r="D56" s="516">
        <f>D51/D57</f>
        <v>74.331400000000002</v>
      </c>
      <c r="E56" s="125" t="s">
        <v>256</v>
      </c>
      <c r="F56" s="539">
        <f>SUM('Square Footage'!P25:P26)</f>
        <v>8625</v>
      </c>
    </row>
    <row r="57" spans="1:6">
      <c r="A57" s="495" t="s">
        <v>327</v>
      </c>
      <c r="B57" s="497">
        <f>100*B48</f>
        <v>2550000</v>
      </c>
      <c r="C57" s="517" t="s">
        <v>273</v>
      </c>
      <c r="D57" s="516">
        <v>5000</v>
      </c>
      <c r="E57" s="125" t="s">
        <v>307</v>
      </c>
      <c r="F57" s="540">
        <v>0.03</v>
      </c>
    </row>
    <row r="58" spans="1:6" ht="14.1" thickBot="1">
      <c r="A58" s="503" t="s">
        <v>328</v>
      </c>
      <c r="B58" s="504">
        <v>0.03</v>
      </c>
      <c r="C58" s="517" t="s">
        <v>274</v>
      </c>
      <c r="D58" s="516">
        <v>1050</v>
      </c>
      <c r="E58" s="125" t="s">
        <v>310</v>
      </c>
      <c r="F58" s="481">
        <v>1180000000</v>
      </c>
    </row>
    <row r="59" spans="1:6" ht="14.1" thickBot="1">
      <c r="C59" s="517" t="s">
        <v>308</v>
      </c>
      <c r="D59" s="518">
        <v>1.4999999999999999E-2</v>
      </c>
      <c r="E59" s="541"/>
      <c r="F59" s="542"/>
    </row>
    <row r="60" spans="1:6" ht="14.1" thickBot="1">
      <c r="A60" s="671" t="s">
        <v>19</v>
      </c>
      <c r="B60" s="672"/>
      <c r="C60" s="517" t="s">
        <v>279</v>
      </c>
      <c r="D60" s="518">
        <v>0.02</v>
      </c>
      <c r="E60" s="70"/>
      <c r="F60" s="521"/>
    </row>
    <row r="61" spans="1:6">
      <c r="A61" s="522" t="s">
        <v>256</v>
      </c>
      <c r="B61" s="523">
        <v>582500</v>
      </c>
      <c r="C61" s="517" t="s">
        <v>281</v>
      </c>
      <c r="D61" s="514">
        <v>1</v>
      </c>
    </row>
    <row r="62" spans="1:6">
      <c r="A62" s="522" t="s">
        <v>329</v>
      </c>
      <c r="B62" s="523">
        <v>1000</v>
      </c>
      <c r="C62" s="517" t="s">
        <v>6</v>
      </c>
      <c r="D62" s="519">
        <v>5.7500000000000002E-2</v>
      </c>
    </row>
    <row r="63" spans="1:6" ht="14.1" thickBot="1">
      <c r="A63" s="522" t="s">
        <v>330</v>
      </c>
      <c r="B63" s="524">
        <f>'Square Footage'!P68</f>
        <v>6763.1072500000009</v>
      </c>
      <c r="C63" s="536" t="s">
        <v>284</v>
      </c>
      <c r="D63" s="520">
        <v>0.03</v>
      </c>
    </row>
    <row r="64" spans="1:6" ht="14.25" customHeight="1">
      <c r="A64" s="522" t="s">
        <v>331</v>
      </c>
      <c r="B64" s="525">
        <v>400</v>
      </c>
    </row>
    <row r="65" spans="1:7">
      <c r="A65" s="522" t="s">
        <v>332</v>
      </c>
      <c r="B65" s="526">
        <f>G92</f>
        <v>9029689.8749999981</v>
      </c>
    </row>
    <row r="66" spans="1:7">
      <c r="A66" s="522" t="s">
        <v>333</v>
      </c>
      <c r="B66" s="526">
        <f>G93</f>
        <v>99999.84</v>
      </c>
    </row>
    <row r="67" spans="1:7">
      <c r="A67" s="522" t="s">
        <v>334</v>
      </c>
      <c r="B67" s="527">
        <f>G90</f>
        <v>40000</v>
      </c>
    </row>
    <row r="68" spans="1:7">
      <c r="A68" s="522" t="s">
        <v>335</v>
      </c>
      <c r="B68" s="526">
        <f>SUM(B65:B67)</f>
        <v>9169689.714999998</v>
      </c>
    </row>
    <row r="69" spans="1:7">
      <c r="A69" s="522" t="s">
        <v>307</v>
      </c>
      <c r="B69" s="528">
        <v>0.03</v>
      </c>
    </row>
    <row r="70" spans="1:7">
      <c r="A70" s="522" t="s">
        <v>310</v>
      </c>
      <c r="B70" s="526">
        <v>7577212</v>
      </c>
    </row>
    <row r="71" spans="1:7">
      <c r="A71" s="522" t="s">
        <v>273</v>
      </c>
      <c r="B71" s="526">
        <v>100000</v>
      </c>
    </row>
    <row r="72" spans="1:7">
      <c r="A72" s="529" t="s">
        <v>297</v>
      </c>
      <c r="B72" s="525">
        <v>0.5</v>
      </c>
    </row>
    <row r="73" spans="1:7">
      <c r="A73" s="522" t="s">
        <v>336</v>
      </c>
      <c r="B73" s="526">
        <v>150</v>
      </c>
    </row>
    <row r="74" spans="1:7">
      <c r="A74" s="133" t="s">
        <v>337</v>
      </c>
      <c r="B74" s="526">
        <v>8</v>
      </c>
    </row>
    <row r="75" spans="1:7" ht="14.1" thickBot="1">
      <c r="A75" s="530" t="s">
        <v>338</v>
      </c>
      <c r="B75" s="531">
        <f>B63*B73</f>
        <v>1014466.0875000001</v>
      </c>
    </row>
    <row r="76" spans="1:7">
      <c r="A76" s="70"/>
      <c r="B76" s="9"/>
    </row>
    <row r="77" spans="1:7" ht="18.95" thickBot="1">
      <c r="A77" s="403" t="s">
        <v>339</v>
      </c>
      <c r="B77" s="404"/>
    </row>
    <row r="78" spans="1:7" ht="15.95" thickBot="1">
      <c r="A78" s="114" t="s">
        <v>340</v>
      </c>
      <c r="B78" s="108"/>
      <c r="C78" s="108"/>
      <c r="D78" s="108" t="s">
        <v>341</v>
      </c>
      <c r="E78" s="109" t="s">
        <v>342</v>
      </c>
      <c r="F78" s="110" t="s">
        <v>343</v>
      </c>
      <c r="G78" s="111" t="s">
        <v>344</v>
      </c>
    </row>
    <row r="79" spans="1:7" ht="14.1" customHeight="1">
      <c r="A79" s="673" t="s">
        <v>345</v>
      </c>
      <c r="B79" s="24" t="s">
        <v>19</v>
      </c>
      <c r="C79" s="24" t="s">
        <v>346</v>
      </c>
      <c r="D79" s="25">
        <v>125</v>
      </c>
      <c r="E79" s="182">
        <f>SUM('Square Footage'!E49:N49,'Square Footage'!H51)</f>
        <v>1310.3090000000002</v>
      </c>
      <c r="F79" s="26">
        <f>E79*D79</f>
        <v>163788.62500000003</v>
      </c>
      <c r="G79" s="27">
        <f>F79*12</f>
        <v>1965463.5000000005</v>
      </c>
    </row>
    <row r="80" spans="1:7" ht="18.95" customHeight="1">
      <c r="A80" s="675"/>
      <c r="B80" s="24" t="s">
        <v>19</v>
      </c>
      <c r="C80" s="24" t="s">
        <v>347</v>
      </c>
      <c r="D80" s="25">
        <v>125</v>
      </c>
      <c r="E80" s="182">
        <f>SUM('Square Footage'!D53:N53,'Square Footage'!D55:N55,'Square Footage'!D59:N59,'Square Footage'!D61:N61,'Square Footage'!D63:N63,'Square Footage'!D65:N65,'Square Footage'!D67:N67)</f>
        <v>4709.4842499999995</v>
      </c>
      <c r="F80" s="26">
        <f>E80*D80</f>
        <v>588685.53124999988</v>
      </c>
      <c r="G80" s="27">
        <f>F80*12</f>
        <v>7064226.3749999981</v>
      </c>
    </row>
    <row r="81" spans="1:7" ht="14.1" customHeight="1">
      <c r="A81" s="674"/>
      <c r="B81" s="417" t="s">
        <v>348</v>
      </c>
      <c r="C81" s="112"/>
      <c r="D81" s="112"/>
      <c r="E81" s="112"/>
      <c r="F81" s="117">
        <f>SUM(F79:F80)</f>
        <v>752474.15624999988</v>
      </c>
      <c r="G81" s="118">
        <f>SUM(G79:G80)</f>
        <v>9029689.8749999981</v>
      </c>
    </row>
    <row r="82" spans="1:7" ht="14.1" thickBot="1">
      <c r="A82" s="115"/>
      <c r="B82" s="405"/>
      <c r="C82" s="405"/>
      <c r="D82" s="405"/>
      <c r="E82" s="405"/>
      <c r="F82" s="405"/>
      <c r="G82" s="116"/>
    </row>
    <row r="83" spans="1:7" ht="15.95" thickBot="1">
      <c r="A83" s="106" t="s">
        <v>349</v>
      </c>
      <c r="B83" s="107"/>
      <c r="C83" s="107"/>
      <c r="D83" s="108" t="s">
        <v>350</v>
      </c>
      <c r="E83" s="109" t="s">
        <v>342</v>
      </c>
      <c r="F83" s="110" t="s">
        <v>343</v>
      </c>
      <c r="G83" s="111" t="s">
        <v>344</v>
      </c>
    </row>
    <row r="84" spans="1:7" ht="14.1" customHeight="1" thickBot="1">
      <c r="A84" s="673" t="s">
        <v>351</v>
      </c>
      <c r="B84" s="28" t="s">
        <v>352</v>
      </c>
      <c r="C84" s="28" t="s">
        <v>353</v>
      </c>
      <c r="D84" s="29">
        <v>4</v>
      </c>
      <c r="E84" s="30">
        <v>50</v>
      </c>
      <c r="F84" s="31">
        <f>E84*D84*20.8333</f>
        <v>4166.66</v>
      </c>
      <c r="G84" s="32">
        <f>F84*12</f>
        <v>49999.92</v>
      </c>
    </row>
    <row r="85" spans="1:7" ht="14.1">
      <c r="A85" s="675"/>
      <c r="B85" s="24" t="s">
        <v>352</v>
      </c>
      <c r="C85" s="28" t="s">
        <v>354</v>
      </c>
      <c r="D85" s="25">
        <v>4</v>
      </c>
      <c r="E85" s="33">
        <v>50</v>
      </c>
      <c r="F85" s="31">
        <f>E85*D85*20.8333</f>
        <v>4166.66</v>
      </c>
      <c r="G85" s="27">
        <f>F85*12</f>
        <v>49999.92</v>
      </c>
    </row>
    <row r="86" spans="1:7" ht="57.95" customHeight="1">
      <c r="A86" s="674"/>
      <c r="B86" s="418" t="s">
        <v>355</v>
      </c>
      <c r="C86" s="112"/>
      <c r="D86" s="112"/>
      <c r="E86" s="112"/>
      <c r="F86" s="117">
        <f>SUM(F84:F85)</f>
        <v>8333.32</v>
      </c>
      <c r="G86" s="118">
        <f>SUM(G84:G85)</f>
        <v>99999.84</v>
      </c>
    </row>
    <row r="87" spans="1:7" ht="14.1" thickBot="1">
      <c r="A87" s="115"/>
      <c r="B87" s="405"/>
      <c r="C87" s="405"/>
      <c r="D87" s="405"/>
      <c r="E87" s="405"/>
      <c r="F87" s="405"/>
      <c r="G87" s="116"/>
    </row>
    <row r="88" spans="1:7" ht="15.95" thickBot="1">
      <c r="A88" s="106" t="s">
        <v>356</v>
      </c>
      <c r="B88" s="107"/>
      <c r="C88" s="107"/>
      <c r="D88" s="108" t="s">
        <v>341</v>
      </c>
      <c r="E88" s="109" t="s">
        <v>342</v>
      </c>
      <c r="F88" s="110" t="s">
        <v>343</v>
      </c>
      <c r="G88" s="111" t="s">
        <v>344</v>
      </c>
    </row>
    <row r="89" spans="1:7" ht="14.1" customHeight="1">
      <c r="A89" s="673" t="s">
        <v>357</v>
      </c>
      <c r="B89" s="28" t="s">
        <v>352</v>
      </c>
      <c r="C89" s="28" t="s">
        <v>358</v>
      </c>
      <c r="D89" s="29">
        <v>20</v>
      </c>
      <c r="E89" s="30">
        <v>2000</v>
      </c>
      <c r="F89" s="34">
        <f>G89/12</f>
        <v>3333.3333333333335</v>
      </c>
      <c r="G89" s="32">
        <f>D89*E89</f>
        <v>40000</v>
      </c>
    </row>
    <row r="90" spans="1:7" ht="54.95" customHeight="1">
      <c r="A90" s="674"/>
      <c r="B90" s="418" t="s">
        <v>355</v>
      </c>
      <c r="C90" s="112"/>
      <c r="D90" s="112"/>
      <c r="E90" s="112"/>
      <c r="F90" s="117">
        <f>SUM(F89:F89)</f>
        <v>3333.3333333333335</v>
      </c>
      <c r="G90" s="118">
        <f>SUM(G89:G89)</f>
        <v>40000</v>
      </c>
    </row>
    <row r="91" spans="1:7" ht="14.1" thickBot="1">
      <c r="A91" s="115"/>
      <c r="B91" s="405"/>
      <c r="C91" s="405"/>
      <c r="D91" s="405"/>
      <c r="E91" s="405"/>
      <c r="F91" s="405"/>
      <c r="G91" s="116"/>
    </row>
    <row r="92" spans="1:7" ht="14.1" customHeight="1">
      <c r="A92" s="676" t="s">
        <v>359</v>
      </c>
      <c r="B92" s="430" t="s">
        <v>360</v>
      </c>
      <c r="C92" s="59"/>
      <c r="D92" s="59"/>
      <c r="E92" s="59"/>
      <c r="F92" s="34">
        <f>F81</f>
        <v>752474.15624999988</v>
      </c>
      <c r="G92" s="32">
        <f>G81</f>
        <v>9029689.8749999981</v>
      </c>
    </row>
    <row r="93" spans="1:7" ht="30">
      <c r="A93" s="677"/>
      <c r="B93" s="431" t="s">
        <v>361</v>
      </c>
      <c r="C93" s="60"/>
      <c r="D93" s="60"/>
      <c r="E93" s="60"/>
      <c r="F93" s="26">
        <f>F86</f>
        <v>8333.32</v>
      </c>
      <c r="G93" s="35">
        <f>G86</f>
        <v>99999.84</v>
      </c>
    </row>
    <row r="94" spans="1:7" ht="15" thickBot="1">
      <c r="A94" s="678"/>
      <c r="B94" s="113"/>
      <c r="C94" s="113"/>
      <c r="D94" s="113"/>
      <c r="E94" s="113"/>
      <c r="F94" s="119">
        <f>SUM(F92:F93)</f>
        <v>760807.47624999983</v>
      </c>
      <c r="G94" s="120">
        <f>SUM(G92:G93)</f>
        <v>9129689.714999998</v>
      </c>
    </row>
  </sheetData>
  <mergeCells count="12">
    <mergeCell ref="A23:B23"/>
    <mergeCell ref="A7:B7"/>
    <mergeCell ref="E55:F55"/>
    <mergeCell ref="C50:D50"/>
    <mergeCell ref="A35:B35"/>
    <mergeCell ref="C35:D35"/>
    <mergeCell ref="E35:F35"/>
    <mergeCell ref="A60:B60"/>
    <mergeCell ref="A89:A90"/>
    <mergeCell ref="A79:A81"/>
    <mergeCell ref="A84:A86"/>
    <mergeCell ref="A92:A94"/>
  </mergeCells>
  <pageMargins left="0.7" right="0.7" top="0.75" bottom="0.75" header="0.3" footer="0.3"/>
  <pageSetup orientation="portrait" horizontalDpi="90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E85DC-A059-C24A-8546-32755A49CDC6}">
  <sheetPr>
    <tabColor theme="6" tint="0.79998168889431442"/>
  </sheetPr>
  <dimension ref="A1:K83"/>
  <sheetViews>
    <sheetView zoomScale="83" zoomScaleNormal="117" workbookViewId="0">
      <selection activeCell="K5" sqref="K5"/>
    </sheetView>
  </sheetViews>
  <sheetFormatPr defaultColWidth="10.6640625" defaultRowHeight="15"/>
  <cols>
    <col min="1" max="1" width="6.1640625" style="278" customWidth="1"/>
    <col min="2" max="2" width="13" style="134" customWidth="1"/>
    <col min="3" max="3" width="10.6640625" style="134"/>
    <col min="4" max="4" width="15.1640625" style="277" customWidth="1"/>
    <col min="5" max="5" width="15.1640625" style="134" customWidth="1"/>
    <col min="6" max="6" width="14.33203125" style="134" customWidth="1"/>
    <col min="7" max="7" width="10.6640625" style="134"/>
    <col min="8" max="8" width="39.33203125" style="134" customWidth="1"/>
    <col min="9" max="9" width="27.83203125" style="134" customWidth="1"/>
    <col min="10" max="10" width="4.83203125" style="134" customWidth="1"/>
    <col min="11" max="11" width="41.1640625" style="134" customWidth="1"/>
    <col min="12" max="16384" width="10.6640625" style="134"/>
  </cols>
  <sheetData>
    <row r="1" spans="1:11" ht="15.95" thickBot="1"/>
    <row r="2" spans="1:11" ht="15.95" thickBot="1">
      <c r="A2" s="707" t="s">
        <v>362</v>
      </c>
      <c r="B2" s="708"/>
      <c r="C2" s="708"/>
      <c r="D2" s="708"/>
      <c r="E2" s="708"/>
      <c r="F2" s="708"/>
      <c r="G2" s="708"/>
      <c r="H2" s="708"/>
      <c r="I2" s="709"/>
    </row>
    <row r="3" spans="1:11" ht="15.95" thickBot="1">
      <c r="A3" s="316"/>
      <c r="D3" s="279"/>
      <c r="I3" s="283"/>
    </row>
    <row r="4" spans="1:11" ht="15.95" thickBot="1">
      <c r="A4" s="316"/>
      <c r="B4" s="710">
        <f>D15</f>
        <v>19944381.600000001</v>
      </c>
      <c r="C4" s="711"/>
      <c r="D4" s="279" t="s">
        <v>363</v>
      </c>
      <c r="I4" s="283"/>
    </row>
    <row r="5" spans="1:11" ht="15.95" thickBot="1">
      <c r="A5" s="316"/>
      <c r="B5" s="712">
        <f>D20+D27+D34+D44+D49+D62+D69+D75+D79+D83</f>
        <v>12108300.7453152</v>
      </c>
      <c r="C5" s="713"/>
      <c r="D5" s="279" t="s">
        <v>364</v>
      </c>
      <c r="I5" s="283"/>
    </row>
    <row r="6" spans="1:11" ht="15.95" thickBot="1">
      <c r="A6" s="316"/>
      <c r="B6" s="714">
        <f>B4+B5</f>
        <v>32052682.345315203</v>
      </c>
      <c r="C6" s="715"/>
      <c r="D6" s="279" t="s">
        <v>365</v>
      </c>
      <c r="I6" s="283"/>
    </row>
    <row r="7" spans="1:11">
      <c r="A7" s="316"/>
      <c r="D7" s="279"/>
      <c r="I7" s="283"/>
    </row>
    <row r="8" spans="1:11" ht="15.95" thickBot="1">
      <c r="A8" s="316"/>
      <c r="D8" s="279"/>
      <c r="I8" s="283"/>
    </row>
    <row r="9" spans="1:11" ht="15.95" thickBot="1">
      <c r="A9" s="707" t="s">
        <v>366</v>
      </c>
      <c r="B9" s="708"/>
      <c r="C9" s="708"/>
      <c r="D9" s="708"/>
      <c r="E9" s="708"/>
      <c r="F9" s="708"/>
      <c r="G9" s="708"/>
      <c r="H9" s="708"/>
      <c r="I9" s="709"/>
    </row>
    <row r="10" spans="1:11" ht="14.45" customHeight="1">
      <c r="A10" s="718" t="s">
        <v>367</v>
      </c>
      <c r="B10" s="314" t="s">
        <v>368</v>
      </c>
      <c r="C10" s="314" t="s">
        <v>369</v>
      </c>
      <c r="D10" s="315" t="s">
        <v>99</v>
      </c>
      <c r="E10" s="314" t="s">
        <v>370</v>
      </c>
      <c r="F10" s="314" t="s">
        <v>371</v>
      </c>
      <c r="G10" s="314" t="s">
        <v>372</v>
      </c>
      <c r="H10" s="314" t="s">
        <v>373</v>
      </c>
      <c r="I10" s="313" t="s">
        <v>374</v>
      </c>
      <c r="K10" s="699" t="s">
        <v>375</v>
      </c>
    </row>
    <row r="11" spans="1:11" ht="14.45" customHeight="1">
      <c r="A11" s="719"/>
      <c r="B11" s="134" t="s">
        <v>376</v>
      </c>
      <c r="C11" s="134">
        <v>1</v>
      </c>
      <c r="D11" s="279">
        <f>(43560*I11)*78</f>
        <v>4688798.3999999994</v>
      </c>
      <c r="E11" s="134">
        <v>0</v>
      </c>
      <c r="F11" s="134">
        <v>0</v>
      </c>
      <c r="G11" s="134">
        <v>300</v>
      </c>
      <c r="H11" s="134" t="s">
        <v>377</v>
      </c>
      <c r="I11" s="283">
        <v>1.38</v>
      </c>
      <c r="K11" s="700"/>
    </row>
    <row r="12" spans="1:11">
      <c r="A12" s="719"/>
      <c r="B12" s="134" t="s">
        <v>378</v>
      </c>
      <c r="C12" s="134">
        <v>11</v>
      </c>
      <c r="D12" s="279">
        <f>(43560*I12)*78</f>
        <v>5300380.8000000007</v>
      </c>
      <c r="E12" s="134">
        <v>0</v>
      </c>
      <c r="F12" s="134">
        <v>0</v>
      </c>
      <c r="G12" s="134">
        <v>300</v>
      </c>
      <c r="H12" s="134" t="s">
        <v>379</v>
      </c>
      <c r="I12" s="283">
        <v>1.56</v>
      </c>
      <c r="K12" s="700"/>
    </row>
    <row r="13" spans="1:11">
      <c r="A13" s="719"/>
      <c r="B13" s="134" t="s">
        <v>380</v>
      </c>
      <c r="C13" s="134">
        <v>13</v>
      </c>
      <c r="D13" s="279">
        <f>(43560*I13)*78</f>
        <v>5300380.8000000007</v>
      </c>
      <c r="E13" s="134">
        <v>0</v>
      </c>
      <c r="F13" s="134">
        <v>0</v>
      </c>
      <c r="G13" s="134">
        <v>300</v>
      </c>
      <c r="H13" s="134" t="s">
        <v>381</v>
      </c>
      <c r="I13" s="283">
        <v>1.56</v>
      </c>
      <c r="K13" s="700"/>
    </row>
    <row r="14" spans="1:11" ht="15.95" thickBot="1">
      <c r="A14" s="719"/>
      <c r="B14" s="289" t="s">
        <v>382</v>
      </c>
      <c r="C14" s="281" t="s">
        <v>383</v>
      </c>
      <c r="D14" s="279">
        <f>(43560*I14)*78</f>
        <v>4654821.6000000006</v>
      </c>
      <c r="E14" s="281" t="s">
        <v>383</v>
      </c>
      <c r="F14" s="281" t="s">
        <v>383</v>
      </c>
      <c r="G14" s="281" t="s">
        <v>383</v>
      </c>
      <c r="H14" s="281" t="s">
        <v>384</v>
      </c>
      <c r="I14" s="280">
        <v>1.37</v>
      </c>
      <c r="K14" s="701"/>
    </row>
    <row r="15" spans="1:11" ht="15.95" thickBot="1">
      <c r="A15" s="719"/>
      <c r="D15" s="312">
        <f>SUM(D11:D14)</f>
        <v>19944381.600000001</v>
      </c>
      <c r="I15" s="283"/>
    </row>
    <row r="16" spans="1:11" ht="14.45" customHeight="1">
      <c r="A16" s="694" t="s">
        <v>385</v>
      </c>
      <c r="B16" s="285" t="s">
        <v>368</v>
      </c>
      <c r="C16" s="285" t="s">
        <v>369</v>
      </c>
      <c r="D16" s="286" t="s">
        <v>99</v>
      </c>
      <c r="E16" s="285" t="s">
        <v>370</v>
      </c>
      <c r="F16" s="285" t="s">
        <v>371</v>
      </c>
      <c r="G16" s="285" t="s">
        <v>372</v>
      </c>
      <c r="H16" s="285" t="s">
        <v>373</v>
      </c>
      <c r="I16" s="284" t="s">
        <v>374</v>
      </c>
      <c r="K16" s="699" t="s">
        <v>386</v>
      </c>
    </row>
    <row r="17" spans="1:11">
      <c r="A17" s="695"/>
      <c r="B17" s="134" t="s">
        <v>387</v>
      </c>
      <c r="C17" s="134">
        <v>1</v>
      </c>
      <c r="D17" s="279">
        <f>(43560*I17)*68</f>
        <v>9592.7257008000015</v>
      </c>
      <c r="E17" s="134">
        <v>0</v>
      </c>
      <c r="F17" s="134">
        <v>0</v>
      </c>
      <c r="G17" s="134">
        <v>300</v>
      </c>
      <c r="H17" s="134" t="s">
        <v>388</v>
      </c>
      <c r="I17" s="283">
        <v>3.23851E-3</v>
      </c>
      <c r="K17" s="700"/>
    </row>
    <row r="18" spans="1:11">
      <c r="A18" s="695"/>
      <c r="B18" s="134" t="s">
        <v>389</v>
      </c>
      <c r="C18" s="134">
        <v>1</v>
      </c>
      <c r="D18" s="279">
        <f>(43560*I18)*68</f>
        <v>6908.1037344000006</v>
      </c>
      <c r="E18" s="134">
        <v>0</v>
      </c>
      <c r="F18" s="134">
        <v>0</v>
      </c>
      <c r="G18" s="134">
        <v>300</v>
      </c>
      <c r="H18" s="134" t="s">
        <v>390</v>
      </c>
      <c r="I18" s="283">
        <v>2.3321800000000001E-3</v>
      </c>
      <c r="K18" s="700"/>
    </row>
    <row r="19" spans="1:11" ht="15.95" thickBot="1">
      <c r="A19" s="695"/>
      <c r="B19" s="134" t="s">
        <v>391</v>
      </c>
      <c r="C19" s="134">
        <v>1</v>
      </c>
      <c r="D19" s="279">
        <f>(43560*I19)*68</f>
        <v>16527.665879999997</v>
      </c>
      <c r="E19" s="134">
        <v>0</v>
      </c>
      <c r="F19" s="134">
        <v>0</v>
      </c>
      <c r="G19" s="134">
        <v>300</v>
      </c>
      <c r="H19" s="134" t="s">
        <v>392</v>
      </c>
      <c r="I19" s="283">
        <v>5.5797499999999996E-3</v>
      </c>
      <c r="K19" s="701"/>
    </row>
    <row r="20" spans="1:11" ht="15.95" thickBot="1">
      <c r="A20" s="695"/>
      <c r="D20" s="282">
        <f>SUM(D17:D19)</f>
        <v>33028.495315199994</v>
      </c>
      <c r="I20" s="283"/>
      <c r="K20" s="233"/>
    </row>
    <row r="21" spans="1:11">
      <c r="A21" s="697" t="s">
        <v>393</v>
      </c>
      <c r="B21" s="310" t="s">
        <v>368</v>
      </c>
      <c r="C21" s="310" t="s">
        <v>369</v>
      </c>
      <c r="D21" s="311" t="s">
        <v>99</v>
      </c>
      <c r="E21" s="310" t="s">
        <v>370</v>
      </c>
      <c r="F21" s="310" t="s">
        <v>371</v>
      </c>
      <c r="G21" s="310" t="s">
        <v>372</v>
      </c>
      <c r="H21" s="310" t="s">
        <v>373</v>
      </c>
      <c r="I21" s="309" t="s">
        <v>394</v>
      </c>
      <c r="K21" s="699" t="s">
        <v>395</v>
      </c>
    </row>
    <row r="22" spans="1:11">
      <c r="A22" s="698"/>
      <c r="B22" s="134" t="s">
        <v>396</v>
      </c>
      <c r="C22" s="134">
        <v>9</v>
      </c>
      <c r="D22" s="279">
        <v>0</v>
      </c>
      <c r="E22" s="134">
        <v>0</v>
      </c>
      <c r="F22" s="134">
        <v>0</v>
      </c>
      <c r="G22" s="134">
        <v>300</v>
      </c>
      <c r="H22" s="134" t="s">
        <v>397</v>
      </c>
      <c r="I22" s="283">
        <v>2.9614200000000002E-3</v>
      </c>
      <c r="K22" s="700"/>
    </row>
    <row r="23" spans="1:11">
      <c r="A23" s="698"/>
      <c r="B23" s="134" t="s">
        <v>398</v>
      </c>
      <c r="C23" s="134">
        <v>8</v>
      </c>
      <c r="D23" s="279">
        <v>0</v>
      </c>
      <c r="E23" s="134">
        <v>0</v>
      </c>
      <c r="F23" s="134">
        <v>0</v>
      </c>
      <c r="G23" s="134">
        <v>300</v>
      </c>
      <c r="H23" s="134" t="s">
        <v>399</v>
      </c>
      <c r="I23" s="283">
        <v>4.5108800000000001E-3</v>
      </c>
      <c r="K23" s="700"/>
    </row>
    <row r="24" spans="1:11">
      <c r="A24" s="698"/>
      <c r="B24" s="134" t="s">
        <v>400</v>
      </c>
      <c r="C24" s="134">
        <v>9</v>
      </c>
      <c r="D24" s="279">
        <v>0</v>
      </c>
      <c r="E24" s="134">
        <v>0</v>
      </c>
      <c r="F24" s="134">
        <v>0</v>
      </c>
      <c r="G24" s="134">
        <v>300</v>
      </c>
      <c r="H24" s="134" t="s">
        <v>401</v>
      </c>
      <c r="I24" s="283">
        <v>4.6457999999999997E-4</v>
      </c>
      <c r="K24" s="700"/>
    </row>
    <row r="25" spans="1:11">
      <c r="A25" s="698"/>
      <c r="B25" s="134" t="s">
        <v>402</v>
      </c>
      <c r="C25" s="134">
        <v>19</v>
      </c>
      <c r="D25" s="279">
        <v>0</v>
      </c>
      <c r="E25" s="134">
        <v>0</v>
      </c>
      <c r="F25" s="134">
        <v>0</v>
      </c>
      <c r="G25" s="134">
        <v>300</v>
      </c>
      <c r="H25" s="134" t="s">
        <v>403</v>
      </c>
      <c r="I25" s="283">
        <v>4.6339299999999996E-3</v>
      </c>
      <c r="K25" s="700"/>
    </row>
    <row r="26" spans="1:11" ht="15.95" thickBot="1">
      <c r="A26" s="698"/>
      <c r="B26" s="134" t="s">
        <v>404</v>
      </c>
      <c r="C26" s="134">
        <v>7</v>
      </c>
      <c r="D26" s="279">
        <v>0</v>
      </c>
      <c r="E26" s="134">
        <v>0</v>
      </c>
      <c r="F26" s="134">
        <v>0</v>
      </c>
      <c r="G26" s="134">
        <v>300</v>
      </c>
      <c r="H26" s="134" t="s">
        <v>405</v>
      </c>
      <c r="I26" s="283">
        <v>2.0906000000000001E-4</v>
      </c>
      <c r="K26" s="700"/>
    </row>
    <row r="27" spans="1:11" ht="15.95" thickBot="1">
      <c r="A27" s="698"/>
      <c r="D27" s="308">
        <v>1</v>
      </c>
      <c r="I27" s="283"/>
      <c r="K27" s="701"/>
    </row>
    <row r="28" spans="1:11" ht="15.95" thickBot="1">
      <c r="A28" s="704" t="s">
        <v>406</v>
      </c>
      <c r="B28" s="295" t="s">
        <v>368</v>
      </c>
      <c r="C28" s="295" t="s">
        <v>369</v>
      </c>
      <c r="D28" s="296" t="s">
        <v>99</v>
      </c>
      <c r="E28" s="295" t="s">
        <v>370</v>
      </c>
      <c r="F28" s="295" t="s">
        <v>371</v>
      </c>
      <c r="G28" s="295" t="s">
        <v>372</v>
      </c>
      <c r="H28" s="295" t="s">
        <v>373</v>
      </c>
      <c r="I28" s="294" t="s">
        <v>394</v>
      </c>
    </row>
    <row r="29" spans="1:11" ht="14.45" customHeight="1">
      <c r="A29" s="705"/>
      <c r="B29" s="134" t="s">
        <v>407</v>
      </c>
      <c r="C29" s="134">
        <v>15</v>
      </c>
      <c r="D29" s="279">
        <f>4824855</f>
        <v>4824855</v>
      </c>
      <c r="E29" s="134">
        <v>1822723</v>
      </c>
      <c r="F29" s="134">
        <v>0</v>
      </c>
      <c r="G29" s="134">
        <v>6600</v>
      </c>
      <c r="H29" s="134" t="s">
        <v>408</v>
      </c>
      <c r="I29" s="283">
        <v>5.5767200000000003E-3</v>
      </c>
      <c r="K29" s="699" t="s">
        <v>409</v>
      </c>
    </row>
    <row r="30" spans="1:11">
      <c r="A30" s="705"/>
      <c r="D30" s="307">
        <f>4824855/4*3</f>
        <v>3618641.25</v>
      </c>
      <c r="E30" s="306" t="s">
        <v>410</v>
      </c>
      <c r="F30" s="306"/>
      <c r="G30" s="306"/>
      <c r="H30" s="306"/>
      <c r="I30" s="283"/>
      <c r="K30" s="700"/>
    </row>
    <row r="31" spans="1:11">
      <c r="A31" s="705"/>
      <c r="B31" s="134" t="s">
        <v>391</v>
      </c>
      <c r="C31" s="134">
        <v>1</v>
      </c>
      <c r="D31" s="279">
        <v>0</v>
      </c>
      <c r="E31" s="134">
        <v>0</v>
      </c>
      <c r="F31" s="134">
        <v>0</v>
      </c>
      <c r="G31" s="134">
        <v>300</v>
      </c>
      <c r="H31" s="134" t="s">
        <v>392</v>
      </c>
      <c r="I31" s="283">
        <v>5.5797499999999996E-3</v>
      </c>
      <c r="K31" s="700"/>
    </row>
    <row r="32" spans="1:11">
      <c r="A32" s="705"/>
      <c r="B32" s="134" t="s">
        <v>411</v>
      </c>
      <c r="C32" s="134">
        <v>7</v>
      </c>
      <c r="D32" s="279">
        <v>477462</v>
      </c>
      <c r="E32" s="134">
        <v>3256779</v>
      </c>
      <c r="F32" s="134">
        <v>0</v>
      </c>
      <c r="G32" s="134">
        <v>6800</v>
      </c>
      <c r="H32" s="134" t="s">
        <v>412</v>
      </c>
      <c r="I32" s="283">
        <v>5.5819600000000004E-3</v>
      </c>
      <c r="K32" s="700"/>
    </row>
    <row r="33" spans="1:11" ht="15.95" thickBot="1">
      <c r="A33" s="705"/>
      <c r="B33" s="134" t="s">
        <v>413</v>
      </c>
      <c r="C33" s="134">
        <v>8</v>
      </c>
      <c r="D33" s="279">
        <v>70731</v>
      </c>
      <c r="E33" s="134">
        <v>265065</v>
      </c>
      <c r="F33" s="134">
        <v>335796</v>
      </c>
      <c r="G33" s="134">
        <v>2400</v>
      </c>
      <c r="H33" s="134" t="s">
        <v>414</v>
      </c>
      <c r="I33" s="283">
        <v>2.5552000000000002E-4</v>
      </c>
      <c r="K33" s="700"/>
    </row>
    <row r="34" spans="1:11" ht="15.95" thickBot="1">
      <c r="A34" s="705"/>
      <c r="D34" s="305">
        <f>SUM(D30:D33)</f>
        <v>4166834.25</v>
      </c>
      <c r="I34" s="283"/>
      <c r="K34" s="701"/>
    </row>
    <row r="35" spans="1:11">
      <c r="A35" s="716" t="s">
        <v>415</v>
      </c>
      <c r="B35" s="303" t="s">
        <v>368</v>
      </c>
      <c r="C35" s="303" t="s">
        <v>369</v>
      </c>
      <c r="D35" s="304" t="s">
        <v>99</v>
      </c>
      <c r="E35" s="303" t="s">
        <v>370</v>
      </c>
      <c r="F35" s="303" t="s">
        <v>371</v>
      </c>
      <c r="G35" s="303" t="s">
        <v>372</v>
      </c>
      <c r="H35" s="303" t="s">
        <v>373</v>
      </c>
      <c r="I35" s="302" t="s">
        <v>394</v>
      </c>
      <c r="K35" s="233"/>
    </row>
    <row r="36" spans="1:11">
      <c r="A36" s="717"/>
      <c r="B36" s="134" t="s">
        <v>416</v>
      </c>
      <c r="C36" s="134">
        <v>7</v>
      </c>
      <c r="D36" s="279">
        <v>409595</v>
      </c>
      <c r="E36" s="134">
        <v>2227223</v>
      </c>
      <c r="F36" s="134">
        <v>2661685</v>
      </c>
      <c r="G36" s="134">
        <v>3200</v>
      </c>
      <c r="H36" s="134" t="s">
        <v>417</v>
      </c>
      <c r="I36" s="283">
        <v>7.8804999999999999E-4</v>
      </c>
    </row>
    <row r="37" spans="1:11">
      <c r="A37" s="717"/>
      <c r="B37" s="134" t="s">
        <v>418</v>
      </c>
      <c r="C37" s="134">
        <v>19</v>
      </c>
      <c r="D37" s="279">
        <v>124563</v>
      </c>
      <c r="E37" s="134">
        <v>290648</v>
      </c>
      <c r="F37" s="134">
        <v>415211</v>
      </c>
      <c r="G37" s="134">
        <v>9400</v>
      </c>
      <c r="H37" s="134" t="s">
        <v>419</v>
      </c>
      <c r="I37" s="283">
        <v>2.6331999999999999E-4</v>
      </c>
    </row>
    <row r="38" spans="1:11">
      <c r="A38" s="717"/>
      <c r="B38" s="134" t="s">
        <v>420</v>
      </c>
      <c r="C38" s="134">
        <v>22</v>
      </c>
      <c r="D38" s="279">
        <v>298862</v>
      </c>
      <c r="E38" s="134">
        <v>711086</v>
      </c>
      <c r="F38" s="134">
        <v>0</v>
      </c>
      <c r="G38" s="134">
        <v>3200</v>
      </c>
      <c r="H38" s="134" t="s">
        <v>421</v>
      </c>
      <c r="I38" s="283">
        <v>3.2981999999999998E-4</v>
      </c>
    </row>
    <row r="39" spans="1:11">
      <c r="A39" s="717"/>
      <c r="B39" s="134" t="s">
        <v>422</v>
      </c>
      <c r="C39" s="134">
        <v>17</v>
      </c>
      <c r="D39" s="279">
        <v>169872</v>
      </c>
      <c r="E39" s="134">
        <v>396368</v>
      </c>
      <c r="F39" s="134">
        <v>566240</v>
      </c>
      <c r="G39" s="134">
        <v>3200</v>
      </c>
      <c r="H39" s="134" t="s">
        <v>423</v>
      </c>
      <c r="I39" s="283">
        <v>3.9071E-4</v>
      </c>
    </row>
    <row r="40" spans="1:11">
      <c r="A40" s="717"/>
      <c r="B40" s="134" t="s">
        <v>424</v>
      </c>
      <c r="C40" s="134">
        <v>18</v>
      </c>
      <c r="D40" s="279">
        <v>145611</v>
      </c>
      <c r="E40" s="134">
        <v>339760</v>
      </c>
      <c r="F40" s="134">
        <v>485371</v>
      </c>
      <c r="G40" s="134">
        <v>9400</v>
      </c>
      <c r="H40" s="134" t="s">
        <v>425</v>
      </c>
      <c r="I40" s="283">
        <v>2.3230000000000001E-4</v>
      </c>
    </row>
    <row r="41" spans="1:11">
      <c r="A41" s="717"/>
      <c r="B41" s="134" t="s">
        <v>426</v>
      </c>
      <c r="C41" s="134">
        <v>21</v>
      </c>
      <c r="D41" s="279">
        <v>67427</v>
      </c>
      <c r="E41" s="134">
        <v>157330</v>
      </c>
      <c r="F41" s="134">
        <v>224757</v>
      </c>
      <c r="G41" s="134">
        <v>3200</v>
      </c>
      <c r="H41" s="134" t="s">
        <v>427</v>
      </c>
      <c r="I41" s="283">
        <v>1.8243E-4</v>
      </c>
    </row>
    <row r="42" spans="1:11">
      <c r="A42" s="717"/>
      <c r="B42" s="134" t="s">
        <v>428</v>
      </c>
      <c r="C42" s="134">
        <v>20</v>
      </c>
      <c r="D42" s="279">
        <v>116900</v>
      </c>
      <c r="E42" s="134">
        <v>272900</v>
      </c>
      <c r="F42" s="134">
        <v>389800</v>
      </c>
      <c r="G42" s="134">
        <v>1150</v>
      </c>
      <c r="H42" s="134" t="s">
        <v>429</v>
      </c>
      <c r="I42" s="283">
        <v>1.8197999999999999E-4</v>
      </c>
    </row>
    <row r="43" spans="1:11" ht="15.95" thickBot="1">
      <c r="A43" s="717"/>
      <c r="B43" s="281" t="s">
        <v>430</v>
      </c>
      <c r="C43" s="281">
        <v>16</v>
      </c>
      <c r="D43" s="288">
        <v>203063</v>
      </c>
      <c r="E43" s="281">
        <v>493153</v>
      </c>
      <c r="F43" s="281">
        <v>696216</v>
      </c>
      <c r="G43" s="281">
        <v>3200</v>
      </c>
      <c r="H43" s="281" t="s">
        <v>431</v>
      </c>
      <c r="I43" s="280">
        <v>2.3228999999999999E-4</v>
      </c>
    </row>
    <row r="44" spans="1:11" ht="15.95" thickBot="1">
      <c r="A44" s="717"/>
      <c r="D44" s="301">
        <f>SUM(D36:D43)</f>
        <v>1535893</v>
      </c>
      <c r="I44" s="283"/>
    </row>
    <row r="45" spans="1:11">
      <c r="A45" s="694" t="s">
        <v>432</v>
      </c>
      <c r="B45" s="285" t="s">
        <v>368</v>
      </c>
      <c r="C45" s="285" t="s">
        <v>369</v>
      </c>
      <c r="D45" s="286" t="s">
        <v>99</v>
      </c>
      <c r="E45" s="285" t="s">
        <v>370</v>
      </c>
      <c r="F45" s="285" t="s">
        <v>371</v>
      </c>
      <c r="G45" s="285" t="s">
        <v>372</v>
      </c>
      <c r="H45" s="285" t="s">
        <v>373</v>
      </c>
      <c r="I45" s="284" t="s">
        <v>394</v>
      </c>
    </row>
    <row r="46" spans="1:11">
      <c r="A46" s="695"/>
      <c r="B46" s="140" t="s">
        <v>433</v>
      </c>
      <c r="C46" s="134">
        <v>3</v>
      </c>
      <c r="D46" s="279">
        <v>33976</v>
      </c>
      <c r="E46" s="134">
        <v>0</v>
      </c>
      <c r="F46" s="134">
        <v>0</v>
      </c>
      <c r="G46" s="134">
        <v>3000</v>
      </c>
      <c r="H46" s="134" t="s">
        <v>377</v>
      </c>
      <c r="I46" s="283">
        <v>2.3225000000000001E-4</v>
      </c>
    </row>
    <row r="47" spans="1:11">
      <c r="A47" s="695"/>
      <c r="B47" s="140" t="s">
        <v>434</v>
      </c>
      <c r="C47" s="134">
        <v>4</v>
      </c>
      <c r="D47" s="279">
        <v>101929</v>
      </c>
      <c r="E47" s="134">
        <v>0</v>
      </c>
      <c r="F47" s="134">
        <v>0</v>
      </c>
      <c r="G47" s="134">
        <v>3000</v>
      </c>
      <c r="H47" s="134" t="s">
        <v>435</v>
      </c>
      <c r="I47" s="283">
        <v>6.9667000000000004E-4</v>
      </c>
    </row>
    <row r="48" spans="1:11" ht="15.95" thickBot="1">
      <c r="A48" s="695"/>
      <c r="B48" s="140" t="s">
        <v>436</v>
      </c>
      <c r="C48" s="134">
        <v>5</v>
      </c>
      <c r="D48" s="279">
        <v>169881</v>
      </c>
      <c r="E48" s="134">
        <v>0</v>
      </c>
      <c r="F48" s="134">
        <v>0</v>
      </c>
      <c r="G48" s="134">
        <v>3000</v>
      </c>
      <c r="H48" s="134" t="s">
        <v>437</v>
      </c>
      <c r="I48" s="283">
        <v>1.1619E-3</v>
      </c>
    </row>
    <row r="49" spans="1:9" ht="15.95" thickBot="1">
      <c r="A49" s="695"/>
      <c r="D49" s="282">
        <f>SUM(D46:D48)</f>
        <v>305786</v>
      </c>
      <c r="F49" s="279"/>
      <c r="I49" s="283"/>
    </row>
    <row r="50" spans="1:9">
      <c r="A50" s="720" t="s">
        <v>438</v>
      </c>
      <c r="B50" s="299" t="s">
        <v>368</v>
      </c>
      <c r="C50" s="299" t="s">
        <v>369</v>
      </c>
      <c r="D50" s="300" t="s">
        <v>99</v>
      </c>
      <c r="E50" s="299" t="s">
        <v>370</v>
      </c>
      <c r="F50" s="299" t="s">
        <v>371</v>
      </c>
      <c r="G50" s="299" t="s">
        <v>372</v>
      </c>
      <c r="H50" s="299" t="s">
        <v>373</v>
      </c>
      <c r="I50" s="298" t="s">
        <v>394</v>
      </c>
    </row>
    <row r="51" spans="1:9">
      <c r="A51" s="721"/>
      <c r="B51" s="134" t="s">
        <v>439</v>
      </c>
      <c r="C51" s="134">
        <v>15</v>
      </c>
      <c r="D51" s="279">
        <v>274355</v>
      </c>
      <c r="E51" s="134">
        <v>640162</v>
      </c>
      <c r="F51" s="134">
        <v>914517</v>
      </c>
      <c r="G51" s="134">
        <v>3100</v>
      </c>
      <c r="H51" s="134" t="s">
        <v>440</v>
      </c>
      <c r="I51" s="283">
        <v>6.8771999999999995E-4</v>
      </c>
    </row>
    <row r="52" spans="1:9">
      <c r="A52" s="721"/>
      <c r="B52" s="134" t="s">
        <v>441</v>
      </c>
      <c r="C52" s="134">
        <v>11</v>
      </c>
      <c r="D52" s="279">
        <v>170372</v>
      </c>
      <c r="E52" s="134">
        <v>6637</v>
      </c>
      <c r="F52" s="134">
        <v>177009</v>
      </c>
      <c r="G52" s="134">
        <v>8300</v>
      </c>
      <c r="H52" s="134" t="s">
        <v>442</v>
      </c>
      <c r="I52" s="283">
        <v>6.9687000000000004E-4</v>
      </c>
    </row>
    <row r="53" spans="1:9">
      <c r="A53" s="721"/>
      <c r="B53" s="134" t="s">
        <v>443</v>
      </c>
      <c r="C53" s="134">
        <v>10</v>
      </c>
      <c r="D53" s="279">
        <v>1475</v>
      </c>
      <c r="E53" s="134">
        <v>56820</v>
      </c>
      <c r="F53" s="134">
        <v>58295</v>
      </c>
      <c r="G53" s="134">
        <v>8300</v>
      </c>
      <c r="H53" s="134" t="s">
        <v>444</v>
      </c>
      <c r="I53" s="283">
        <v>2.2949999999999999E-4</v>
      </c>
    </row>
    <row r="54" spans="1:9">
      <c r="A54" s="721"/>
      <c r="B54" s="134" t="s">
        <v>445</v>
      </c>
      <c r="C54" s="134">
        <v>9</v>
      </c>
      <c r="D54" s="279">
        <v>192469</v>
      </c>
      <c r="E54" s="134">
        <v>14750</v>
      </c>
      <c r="F54" s="134">
        <v>207219</v>
      </c>
      <c r="G54" s="134">
        <v>8300</v>
      </c>
      <c r="H54" s="134" t="s">
        <v>446</v>
      </c>
      <c r="I54" s="283">
        <v>8.0884999999999996E-4</v>
      </c>
    </row>
    <row r="55" spans="1:9">
      <c r="A55" s="721"/>
      <c r="B55" s="134" t="s">
        <v>447</v>
      </c>
      <c r="C55" s="134">
        <v>14</v>
      </c>
      <c r="D55" s="279">
        <v>191459</v>
      </c>
      <c r="E55" s="134">
        <v>616213</v>
      </c>
      <c r="F55" s="134">
        <v>807672</v>
      </c>
      <c r="G55" s="134">
        <v>3600</v>
      </c>
      <c r="H55" s="134" t="s">
        <v>448</v>
      </c>
      <c r="I55" s="283">
        <v>1.38933E-3</v>
      </c>
    </row>
    <row r="56" spans="1:9">
      <c r="A56" s="721"/>
      <c r="B56" s="134" t="s">
        <v>449</v>
      </c>
      <c r="C56" s="134">
        <v>17</v>
      </c>
      <c r="D56" s="279">
        <v>19479</v>
      </c>
      <c r="E56" s="134">
        <v>7021</v>
      </c>
      <c r="F56" s="134">
        <v>19500</v>
      </c>
      <c r="G56" s="134">
        <v>2600</v>
      </c>
      <c r="H56" s="134" t="s">
        <v>450</v>
      </c>
      <c r="I56" s="283">
        <v>1.7422E-4</v>
      </c>
    </row>
    <row r="57" spans="1:9">
      <c r="A57" s="721"/>
      <c r="B57" s="134" t="s">
        <v>451</v>
      </c>
      <c r="C57" s="134">
        <v>18</v>
      </c>
      <c r="D57" s="279">
        <v>94204</v>
      </c>
      <c r="E57" s="134">
        <v>197161</v>
      </c>
      <c r="F57" s="134">
        <v>291365</v>
      </c>
      <c r="G57" s="134">
        <v>2200</v>
      </c>
      <c r="H57" s="134" t="s">
        <v>452</v>
      </c>
      <c r="I57" s="283">
        <v>1.7421E-4</v>
      </c>
    </row>
    <row r="58" spans="1:9">
      <c r="A58" s="721"/>
      <c r="B58" s="134" t="s">
        <v>453</v>
      </c>
      <c r="C58" s="134">
        <v>7</v>
      </c>
      <c r="D58" s="279">
        <v>28710</v>
      </c>
      <c r="E58" s="134">
        <v>44022</v>
      </c>
      <c r="F58" s="134">
        <v>65732</v>
      </c>
      <c r="G58" s="134">
        <v>1100</v>
      </c>
      <c r="H58" s="134" t="s">
        <v>454</v>
      </c>
      <c r="I58" s="283">
        <v>1.7422E-4</v>
      </c>
    </row>
    <row r="59" spans="1:9">
      <c r="A59" s="721"/>
      <c r="B59" s="134" t="s">
        <v>455</v>
      </c>
      <c r="C59" s="134">
        <v>5</v>
      </c>
      <c r="D59" s="279">
        <v>148909</v>
      </c>
      <c r="E59" s="134">
        <v>113544</v>
      </c>
      <c r="F59" s="134">
        <v>262453</v>
      </c>
      <c r="G59" s="134">
        <v>3200</v>
      </c>
      <c r="H59" s="134" t="s">
        <v>456</v>
      </c>
      <c r="I59" s="283">
        <v>3.4843999999999999E-4</v>
      </c>
    </row>
    <row r="60" spans="1:9">
      <c r="A60" s="721"/>
      <c r="B60" s="134" t="s">
        <v>457</v>
      </c>
      <c r="C60" s="134">
        <v>8</v>
      </c>
      <c r="D60" s="279">
        <v>338530</v>
      </c>
      <c r="E60" s="134">
        <v>2407328</v>
      </c>
      <c r="F60" s="134">
        <v>2745858</v>
      </c>
      <c r="G60" s="134">
        <v>8901</v>
      </c>
      <c r="H60" s="134" t="s">
        <v>458</v>
      </c>
      <c r="I60" s="283">
        <v>5.2265999999999999E-4</v>
      </c>
    </row>
    <row r="61" spans="1:9" ht="15.95" thickBot="1">
      <c r="A61" s="721"/>
      <c r="B61" s="281" t="s">
        <v>459</v>
      </c>
      <c r="C61" s="281">
        <v>16</v>
      </c>
      <c r="D61" s="288">
        <v>175000</v>
      </c>
      <c r="E61" s="281">
        <v>405000</v>
      </c>
      <c r="F61" s="281">
        <v>580000</v>
      </c>
      <c r="G61" s="281">
        <v>3200</v>
      </c>
      <c r="H61" s="281" t="s">
        <v>460</v>
      </c>
      <c r="I61" s="280">
        <v>3.4623E-4</v>
      </c>
    </row>
    <row r="62" spans="1:9" ht="15.95" thickBot="1">
      <c r="A62" s="721"/>
      <c r="D62" s="297">
        <f>SUM(D51:D61)</f>
        <v>1634962</v>
      </c>
      <c r="I62" s="283"/>
    </row>
    <row r="63" spans="1:9">
      <c r="A63" s="704" t="s">
        <v>461</v>
      </c>
      <c r="B63" s="295" t="s">
        <v>368</v>
      </c>
      <c r="C63" s="295" t="s">
        <v>369</v>
      </c>
      <c r="D63" s="296" t="s">
        <v>99</v>
      </c>
      <c r="E63" s="295" t="s">
        <v>370</v>
      </c>
      <c r="F63" s="295" t="s">
        <v>371</v>
      </c>
      <c r="G63" s="295" t="s">
        <v>372</v>
      </c>
      <c r="H63" s="295" t="s">
        <v>373</v>
      </c>
      <c r="I63" s="294" t="s">
        <v>394</v>
      </c>
    </row>
    <row r="64" spans="1:9">
      <c r="A64" s="705"/>
      <c r="B64" s="134" t="s">
        <v>462</v>
      </c>
      <c r="C64" s="134">
        <v>16</v>
      </c>
      <c r="D64" s="279">
        <v>1262420</v>
      </c>
      <c r="E64" s="134">
        <v>2524840</v>
      </c>
      <c r="F64" s="134">
        <v>3787260</v>
      </c>
      <c r="G64" s="134">
        <v>3100</v>
      </c>
      <c r="H64" s="134" t="s">
        <v>463</v>
      </c>
      <c r="I64" s="283">
        <v>9.2814999999999998E-4</v>
      </c>
    </row>
    <row r="65" spans="1:9">
      <c r="A65" s="705"/>
      <c r="B65" s="134" t="s">
        <v>464</v>
      </c>
      <c r="C65" s="134">
        <v>18</v>
      </c>
      <c r="D65" s="279">
        <v>376265</v>
      </c>
      <c r="E65" s="134">
        <v>240402</v>
      </c>
      <c r="F65" s="134">
        <v>616667</v>
      </c>
      <c r="G65" s="134">
        <v>4200</v>
      </c>
      <c r="H65" s="134" t="s">
        <v>465</v>
      </c>
      <c r="I65" s="283">
        <v>7.9642999999999999E-4</v>
      </c>
    </row>
    <row r="66" spans="1:9">
      <c r="A66" s="705"/>
      <c r="B66" s="134" t="s">
        <v>466</v>
      </c>
      <c r="C66" s="134">
        <v>19</v>
      </c>
      <c r="D66" s="279">
        <v>199553</v>
      </c>
      <c r="E66" s="134">
        <v>246878</v>
      </c>
      <c r="F66" s="134">
        <v>446431</v>
      </c>
      <c r="G66" s="134">
        <v>9400</v>
      </c>
      <c r="H66" s="134" t="s">
        <v>467</v>
      </c>
      <c r="I66" s="283">
        <v>4.1815E-4</v>
      </c>
    </row>
    <row r="67" spans="1:9">
      <c r="A67" s="705"/>
      <c r="B67" s="134" t="s">
        <v>468</v>
      </c>
      <c r="C67" s="134">
        <v>17</v>
      </c>
      <c r="D67" s="279">
        <v>248477</v>
      </c>
      <c r="E67" s="134">
        <v>346695</v>
      </c>
      <c r="F67" s="134">
        <v>595172</v>
      </c>
      <c r="G67" s="134">
        <v>3200</v>
      </c>
      <c r="H67" s="134" t="s">
        <v>469</v>
      </c>
      <c r="I67" s="283">
        <v>4.6421E-4</v>
      </c>
    </row>
    <row r="68" spans="1:9" ht="15.95" thickBot="1">
      <c r="A68" s="705"/>
      <c r="B68" s="281" t="s">
        <v>462</v>
      </c>
      <c r="C68" s="281">
        <v>16</v>
      </c>
      <c r="D68" s="288">
        <v>1262420</v>
      </c>
      <c r="E68" s="281">
        <v>2524840</v>
      </c>
      <c r="F68" s="281">
        <v>3787260</v>
      </c>
      <c r="G68" s="281">
        <v>3100</v>
      </c>
      <c r="H68" s="281" t="s">
        <v>463</v>
      </c>
      <c r="I68" s="280">
        <v>9.2814999999999998E-4</v>
      </c>
    </row>
    <row r="69" spans="1:9" ht="15.95" thickBot="1">
      <c r="A69" s="706"/>
      <c r="D69" s="293">
        <f>SUM(D65:D67)</f>
        <v>824295</v>
      </c>
      <c r="I69" s="283"/>
    </row>
    <row r="70" spans="1:9">
      <c r="A70" s="702" t="s">
        <v>470</v>
      </c>
      <c r="B70" s="291" t="s">
        <v>368</v>
      </c>
      <c r="C70" s="291" t="s">
        <v>369</v>
      </c>
      <c r="D70" s="292" t="s">
        <v>99</v>
      </c>
      <c r="E70" s="291" t="s">
        <v>370</v>
      </c>
      <c r="F70" s="291" t="s">
        <v>371</v>
      </c>
      <c r="G70" s="291" t="s">
        <v>372</v>
      </c>
      <c r="H70" s="291" t="s">
        <v>373</v>
      </c>
      <c r="I70" s="290" t="s">
        <v>394</v>
      </c>
    </row>
    <row r="71" spans="1:9">
      <c r="A71" s="703"/>
      <c r="B71" s="134" t="s">
        <v>471</v>
      </c>
      <c r="C71" s="134">
        <v>1</v>
      </c>
      <c r="D71" s="279">
        <v>278200</v>
      </c>
      <c r="E71" s="134">
        <v>252717</v>
      </c>
      <c r="F71" s="134">
        <v>530917</v>
      </c>
      <c r="G71" s="134">
        <v>4100</v>
      </c>
      <c r="H71" s="134" t="s">
        <v>472</v>
      </c>
      <c r="I71" s="283">
        <v>6.9687000000000004E-4</v>
      </c>
    </row>
    <row r="72" spans="1:9">
      <c r="A72" s="703"/>
      <c r="B72" s="134" t="s">
        <v>473</v>
      </c>
      <c r="C72" s="134">
        <v>3</v>
      </c>
      <c r="D72" s="279">
        <v>1400684</v>
      </c>
      <c r="E72" s="134">
        <v>0</v>
      </c>
      <c r="F72" s="134">
        <v>1400684</v>
      </c>
      <c r="G72" s="134">
        <v>4000</v>
      </c>
      <c r="H72" s="134" t="s">
        <v>474</v>
      </c>
      <c r="I72" s="283">
        <v>5.1104000000000004E-4</v>
      </c>
    </row>
    <row r="73" spans="1:9">
      <c r="A73" s="703"/>
      <c r="B73" s="134" t="s">
        <v>475</v>
      </c>
      <c r="C73" s="134">
        <v>2</v>
      </c>
      <c r="D73" s="279">
        <v>1400684</v>
      </c>
      <c r="E73" s="134">
        <v>630702</v>
      </c>
      <c r="F73" s="134">
        <v>2031386</v>
      </c>
      <c r="G73" s="134">
        <v>4100</v>
      </c>
      <c r="H73" s="134" t="s">
        <v>476</v>
      </c>
      <c r="I73" s="283">
        <v>4.6457999999999997E-4</v>
      </c>
    </row>
    <row r="74" spans="1:9" ht="15.95" thickBot="1">
      <c r="A74" s="703"/>
      <c r="B74" s="289" t="s">
        <v>477</v>
      </c>
      <c r="C74" s="281">
        <v>5</v>
      </c>
      <c r="D74" s="288">
        <v>155301</v>
      </c>
      <c r="E74" s="281">
        <v>272444</v>
      </c>
      <c r="F74" s="281">
        <v>427745</v>
      </c>
      <c r="G74" s="281">
        <v>4100</v>
      </c>
      <c r="H74" s="281" t="s">
        <v>478</v>
      </c>
      <c r="I74" s="280">
        <v>1.6260999999999999E-3</v>
      </c>
    </row>
    <row r="75" spans="1:9" ht="15.95" thickBot="1">
      <c r="A75" s="703"/>
      <c r="D75" s="287">
        <f>SUM(D71:D74)</f>
        <v>3234869</v>
      </c>
      <c r="I75" s="283"/>
    </row>
    <row r="76" spans="1:9">
      <c r="A76" s="694" t="s">
        <v>479</v>
      </c>
      <c r="B76" s="285" t="s">
        <v>368</v>
      </c>
      <c r="C76" s="285" t="s">
        <v>369</v>
      </c>
      <c r="D76" s="286" t="s">
        <v>99</v>
      </c>
      <c r="E76" s="285" t="s">
        <v>370</v>
      </c>
      <c r="F76" s="285" t="s">
        <v>371</v>
      </c>
      <c r="G76" s="285" t="s">
        <v>372</v>
      </c>
      <c r="H76" s="285" t="s">
        <v>373</v>
      </c>
      <c r="I76" s="284" t="s">
        <v>394</v>
      </c>
    </row>
    <row r="77" spans="1:9">
      <c r="A77" s="695"/>
      <c r="B77" s="134" t="s">
        <v>480</v>
      </c>
      <c r="C77" s="134">
        <v>1</v>
      </c>
      <c r="D77" s="279">
        <v>279492</v>
      </c>
      <c r="E77" s="134">
        <v>81649</v>
      </c>
      <c r="F77" s="134">
        <v>361141</v>
      </c>
      <c r="G77" s="134">
        <v>8100</v>
      </c>
      <c r="H77" s="134" t="s">
        <v>481</v>
      </c>
      <c r="I77" s="283">
        <v>1.3679E-3</v>
      </c>
    </row>
    <row r="78" spans="1:9" ht="15.95" thickBot="1">
      <c r="A78" s="695"/>
      <c r="B78" s="134" t="s">
        <v>482</v>
      </c>
      <c r="C78" s="134">
        <v>2</v>
      </c>
      <c r="D78" s="279">
        <v>93140</v>
      </c>
      <c r="E78" s="134">
        <v>262802</v>
      </c>
      <c r="F78" s="134">
        <v>0</v>
      </c>
      <c r="G78" s="134">
        <v>4100</v>
      </c>
      <c r="H78" s="134" t="s">
        <v>483</v>
      </c>
      <c r="I78" s="283">
        <v>1.3948700000000001E-3</v>
      </c>
    </row>
    <row r="79" spans="1:9" ht="15.95" thickBot="1">
      <c r="A79" s="696"/>
      <c r="B79" s="281"/>
      <c r="C79" s="281"/>
      <c r="D79" s="282">
        <f>SUM(D77:D78)</f>
        <v>372632</v>
      </c>
      <c r="E79" s="281"/>
      <c r="F79" s="281"/>
      <c r="G79" s="281"/>
      <c r="H79" s="281"/>
      <c r="I79" s="280"/>
    </row>
    <row r="80" spans="1:9">
      <c r="A80" s="693"/>
      <c r="D80" s="279"/>
    </row>
    <row r="81" spans="1:4">
      <c r="A81" s="693"/>
      <c r="D81" s="279"/>
    </row>
    <row r="82" spans="1:4">
      <c r="A82" s="693"/>
      <c r="D82" s="279"/>
    </row>
    <row r="83" spans="1:4">
      <c r="A83" s="693"/>
      <c r="D83" s="279"/>
    </row>
  </sheetData>
  <mergeCells count="20">
    <mergeCell ref="K10:K14"/>
    <mergeCell ref="A9:I9"/>
    <mergeCell ref="A10:A15"/>
    <mergeCell ref="A45:A49"/>
    <mergeCell ref="A50:A62"/>
    <mergeCell ref="K16:K19"/>
    <mergeCell ref="K29:K34"/>
    <mergeCell ref="A2:I2"/>
    <mergeCell ref="B4:C4"/>
    <mergeCell ref="B5:C5"/>
    <mergeCell ref="B6:C6"/>
    <mergeCell ref="A28:A34"/>
    <mergeCell ref="A80:A83"/>
    <mergeCell ref="A76:A79"/>
    <mergeCell ref="A21:A27"/>
    <mergeCell ref="K21:K27"/>
    <mergeCell ref="A16:A20"/>
    <mergeCell ref="A70:A75"/>
    <mergeCell ref="A63:A69"/>
    <mergeCell ref="A35:A4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C5193-C634-4945-8AAE-DD8170472781}">
  <sheetPr>
    <tabColor theme="6" tint="0.79998168889431442"/>
  </sheetPr>
  <dimension ref="B1:F14"/>
  <sheetViews>
    <sheetView zoomScale="164" workbookViewId="0">
      <selection activeCell="F6" sqref="F6:F7"/>
    </sheetView>
  </sheetViews>
  <sheetFormatPr defaultColWidth="9" defaultRowHeight="12.95"/>
  <cols>
    <col min="1" max="1" width="4.83203125" customWidth="1"/>
    <col min="2" max="2" width="27.33203125" bestFit="1" customWidth="1"/>
    <col min="3" max="3" width="16.33203125" customWidth="1"/>
    <col min="4" max="4" width="3.33203125" customWidth="1"/>
    <col min="5" max="5" width="15.1640625" bestFit="1" customWidth="1"/>
    <col min="6" max="6" width="19.6640625" bestFit="1" customWidth="1"/>
    <col min="7" max="7" width="10" customWidth="1"/>
  </cols>
  <sheetData>
    <row r="1" spans="2:6" ht="14.1" customHeight="1"/>
    <row r="2" spans="2:6" ht="15">
      <c r="B2" s="722" t="s">
        <v>484</v>
      </c>
      <c r="C2" s="723"/>
      <c r="D2" s="723"/>
      <c r="E2" s="723"/>
      <c r="F2" s="724"/>
    </row>
    <row r="3" spans="2:6">
      <c r="B3" s="72" t="s">
        <v>485</v>
      </c>
      <c r="C3" s="15">
        <f>SUM('Affordable Housing NOI'!C47+'Office NOI'!C40+'Retail NOI'!C40+'Park+Greenspace Space NOI'!C39+'Parking NOI'!C44)</f>
        <v>605961.75105088018</v>
      </c>
      <c r="E3" t="s">
        <v>486</v>
      </c>
      <c r="F3" s="466">
        <f>-PV(C6/12,C7,(C5/12),,0)</f>
        <v>40726804.337947667</v>
      </c>
    </row>
    <row r="4" spans="2:6">
      <c r="B4" s="72" t="s">
        <v>487</v>
      </c>
      <c r="C4" s="15">
        <f>SUM('Affordable Housing NOI'!C48+'Office NOI'!C41+'Retail NOI'!C41+'Park+Greenspace Space NOI'!C40+'Parking NOI'!C45)</f>
        <v>1198005.6791001603</v>
      </c>
      <c r="F4" s="73"/>
    </row>
    <row r="5" spans="2:6">
      <c r="B5" s="72" t="s">
        <v>488</v>
      </c>
      <c r="C5" s="79">
        <f>SUM(C3:C4)</f>
        <v>1803967.4301510404</v>
      </c>
      <c r="E5" t="s">
        <v>489</v>
      </c>
      <c r="F5" s="466">
        <f>F3</f>
        <v>40726804.337947667</v>
      </c>
    </row>
    <row r="6" spans="2:6">
      <c r="B6" s="72" t="s">
        <v>490</v>
      </c>
      <c r="C6" s="13">
        <v>1.9900000000000001E-2</v>
      </c>
      <c r="E6" t="s">
        <v>491</v>
      </c>
      <c r="F6" s="467">
        <f>-PMT(C6/12,C7,F3,,0)</f>
        <v>150330.61917925131</v>
      </c>
    </row>
    <row r="7" spans="2:6">
      <c r="B7" s="72"/>
      <c r="C7">
        <v>360</v>
      </c>
      <c r="E7" t="s">
        <v>492</v>
      </c>
      <c r="F7" s="467">
        <f>F6*12</f>
        <v>1803967.4301510158</v>
      </c>
    </row>
    <row r="8" spans="2:6">
      <c r="B8" s="72"/>
      <c r="F8" s="74"/>
    </row>
    <row r="9" spans="2:6">
      <c r="B9" s="72"/>
      <c r="F9" s="74"/>
    </row>
    <row r="10" spans="2:6">
      <c r="B10" s="72" t="s">
        <v>493</v>
      </c>
      <c r="C10" s="13">
        <v>0.08</v>
      </c>
      <c r="F10" s="73"/>
    </row>
    <row r="11" spans="2:6">
      <c r="B11" s="72" t="s">
        <v>494</v>
      </c>
      <c r="C11" s="8">
        <v>5000000</v>
      </c>
      <c r="F11" s="73"/>
    </row>
    <row r="12" spans="2:6">
      <c r="B12" s="162" t="s">
        <v>495</v>
      </c>
      <c r="C12" s="8">
        <f>C11*C10</f>
        <v>400000</v>
      </c>
      <c r="F12" s="73"/>
    </row>
    <row r="13" spans="2:6">
      <c r="B13" s="72"/>
      <c r="F13" s="73"/>
    </row>
    <row r="14" spans="2:6">
      <c r="B14" s="75" t="s">
        <v>496</v>
      </c>
      <c r="C14" s="76">
        <v>0</v>
      </c>
      <c r="D14" s="77"/>
      <c r="E14" s="77"/>
      <c r="F14" s="78"/>
    </row>
  </sheetData>
  <mergeCells count="1">
    <mergeCell ref="B2:F2"/>
  </mergeCells>
  <pageMargins left="0.7" right="0.7" top="0.75" bottom="0.75" header="0.3" footer="0.3"/>
  <pageSetup orientation="portrait" horizontalDpi="90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F7F64-797E-5E45-97EE-F56007D43398}">
  <sheetPr>
    <tabColor theme="6" tint="0.79998168889431442"/>
  </sheetPr>
  <dimension ref="B1:N48"/>
  <sheetViews>
    <sheetView workbookViewId="0">
      <selection activeCell="E31" sqref="E31"/>
    </sheetView>
  </sheetViews>
  <sheetFormatPr defaultColWidth="9" defaultRowHeight="12.95"/>
  <cols>
    <col min="2" max="2" width="25" bestFit="1" customWidth="1"/>
    <col min="3" max="3" width="26" customWidth="1"/>
    <col min="4" max="4" width="15.83203125" bestFit="1" customWidth="1"/>
    <col min="5" max="5" width="19" customWidth="1"/>
    <col min="6" max="6" width="20.6640625" customWidth="1"/>
    <col min="7" max="7" width="19.6640625" customWidth="1"/>
    <col min="8" max="8" width="16" bestFit="1" customWidth="1"/>
    <col min="9" max="9" width="18" customWidth="1"/>
    <col min="10" max="13" width="16" bestFit="1" customWidth="1"/>
    <col min="14" max="14" width="15.83203125" bestFit="1" customWidth="1"/>
  </cols>
  <sheetData>
    <row r="1" spans="2:14" ht="14.1" thickBot="1"/>
    <row r="2" spans="2:14" ht="18">
      <c r="B2" s="727" t="s">
        <v>497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9"/>
    </row>
    <row r="3" spans="2:14" ht="18">
      <c r="B3" s="730" t="s">
        <v>39</v>
      </c>
      <c r="C3" s="731"/>
      <c r="D3" s="731"/>
      <c r="E3" s="54">
        <v>2024</v>
      </c>
      <c r="F3" s="54">
        <v>2025</v>
      </c>
      <c r="G3" s="54">
        <v>2026</v>
      </c>
      <c r="H3" s="54">
        <v>2027</v>
      </c>
      <c r="I3" s="425">
        <v>2028</v>
      </c>
      <c r="J3" s="54">
        <v>2029</v>
      </c>
      <c r="K3" s="425">
        <v>2030</v>
      </c>
      <c r="L3" s="54">
        <v>2031</v>
      </c>
      <c r="M3" s="54">
        <v>2032</v>
      </c>
      <c r="N3" s="556">
        <v>2033</v>
      </c>
    </row>
    <row r="4" spans="2:14" ht="12.95" customHeight="1">
      <c r="B4" s="732" t="s">
        <v>40</v>
      </c>
      <c r="C4" s="733"/>
      <c r="D4" s="733"/>
      <c r="E4" s="550">
        <f>((Infra!E6)*12)*(1-Assumptions!$B$18+0.5)</f>
        <v>1312896</v>
      </c>
      <c r="F4" s="550">
        <f>((Infra!F6+Infra!E6)*12)*(1-Assumptions!$B$18+0.5)</f>
        <v>2514018</v>
      </c>
      <c r="G4" s="550">
        <f>((Infra!G6+Infra!F6+Infra!E6)*12)*(1-Assumptions!$B$18+0.5)</f>
        <v>3431112</v>
      </c>
      <c r="H4" s="550">
        <f>((Infra!H6+Infra!G6+Infra!F6+Infra!E6)*12)*(1-Assumptions!$B$18+0.5)</f>
        <v>3431112</v>
      </c>
      <c r="I4" s="550">
        <f>((Infra!I6+Infra!H6+Infra!G6+Infra!F6+Infra!E6)*12)*(1-Assumptions!$B$18+0.5)</f>
        <v>3810120</v>
      </c>
      <c r="J4" s="550">
        <f>((Infra!J6+Infra!I6+Infra!H6+Infra!G6+Infra!F6+Infra!E6)*12)*(1-Assumptions!$B$18+0.5)</f>
        <v>5369994</v>
      </c>
      <c r="K4" s="550">
        <f>((Infra!K6+Infra!J6+Infra!I6+Infra!H6+Infra!G6+Infra!F6+Infra!E6)*12)*(1-Assumptions!$B$18+0.5)</f>
        <v>6348150</v>
      </c>
      <c r="L4" s="550">
        <f>((Infra!L6+Infra!K6+Infra!J6+Infra!I6+Infra!H6+Infra!G6+Infra!F6+Infra!E6)*12)*(1-Assumptions!$B$18+0.5)</f>
        <v>6348150</v>
      </c>
      <c r="M4" s="550">
        <f>((Infra!M6+Infra!L6+Infra!K6+Infra!J6+Infra!I6+Infra!H6+Infra!G6+Infra!F6+Infra!E6)*12)*(1-Assumptions!$B$18+0.5)</f>
        <v>6348150</v>
      </c>
      <c r="N4" s="577">
        <f>((Infra!N6+Infra!M6+Infra!L6+Infra!K6+Infra!J6+Infra!I6+Infra!H6+Infra!G6+Infra!F6+Infra!E6)*12)*(1-Assumptions!$B$18+0.5)</f>
        <v>6924150</v>
      </c>
    </row>
    <row r="5" spans="2:14">
      <c r="B5" s="725" t="s">
        <v>41</v>
      </c>
      <c r="C5" s="726"/>
      <c r="D5" s="726"/>
      <c r="E5" s="10">
        <f>-Assumptions!$B$16*'Market Housing NOI'!E4</f>
        <v>-19693.439999999999</v>
      </c>
      <c r="F5" s="10">
        <f>-Assumptions!$B$16*'Market Housing NOI'!F4</f>
        <v>-37710.269999999997</v>
      </c>
      <c r="G5" s="10">
        <f>-Assumptions!$B$16*'Market Housing NOI'!G4</f>
        <v>-51466.68</v>
      </c>
      <c r="H5" s="10">
        <f>-Assumptions!$B$16*'Market Housing NOI'!H4</f>
        <v>-51466.68</v>
      </c>
      <c r="I5" s="10">
        <f>-Assumptions!$B$16*'Market Housing NOI'!I4</f>
        <v>-57151.799999999996</v>
      </c>
      <c r="J5" s="10">
        <f>-Assumptions!$B$16*'Market Housing NOI'!J4</f>
        <v>-80549.91</v>
      </c>
      <c r="K5" s="10">
        <f>-Assumptions!$B$16*'Market Housing NOI'!K4</f>
        <v>-95222.25</v>
      </c>
      <c r="L5" s="10">
        <f>-Assumptions!$B$16*'Market Housing NOI'!L4</f>
        <v>-95222.25</v>
      </c>
      <c r="M5" s="10">
        <f>-Assumptions!$B$16*'Market Housing NOI'!M4</f>
        <v>-95222.25</v>
      </c>
      <c r="N5" s="564">
        <f>-Assumptions!$B$16*'Market Housing NOI'!N4</f>
        <v>-103862.25</v>
      </c>
    </row>
    <row r="6" spans="2:14">
      <c r="B6" s="734" t="s">
        <v>42</v>
      </c>
      <c r="C6" s="735"/>
      <c r="D6" s="735"/>
      <c r="E6" s="10">
        <f>E4+E5</f>
        <v>1293202.56</v>
      </c>
      <c r="F6" s="10">
        <f t="shared" ref="F6:N6" si="0">F4+F5</f>
        <v>2476307.73</v>
      </c>
      <c r="G6" s="10">
        <f t="shared" si="0"/>
        <v>3379645.32</v>
      </c>
      <c r="H6" s="10">
        <f t="shared" si="0"/>
        <v>3379645.32</v>
      </c>
      <c r="I6" s="10">
        <f t="shared" si="0"/>
        <v>3752968.2</v>
      </c>
      <c r="J6" s="10">
        <f t="shared" si="0"/>
        <v>5289444.09</v>
      </c>
      <c r="K6" s="10">
        <f t="shared" si="0"/>
        <v>6252927.75</v>
      </c>
      <c r="L6" s="10">
        <f t="shared" si="0"/>
        <v>6252927.75</v>
      </c>
      <c r="M6" s="10">
        <f t="shared" si="0"/>
        <v>6252927.75</v>
      </c>
      <c r="N6" s="564">
        <f t="shared" si="0"/>
        <v>6820287.75</v>
      </c>
    </row>
    <row r="7" spans="2:14">
      <c r="B7" s="736" t="s">
        <v>43</v>
      </c>
      <c r="C7" s="737"/>
      <c r="D7" s="737"/>
      <c r="E7" s="550">
        <f>Assumptions!$B$12*Assumptions!$B$11</f>
        <v>0</v>
      </c>
      <c r="F7" s="550">
        <f>Assumptions!$B$12*Assumptions!$B$11</f>
        <v>0</v>
      </c>
      <c r="G7" s="550">
        <f>Assumptions!$B$12*Assumptions!$B$11</f>
        <v>0</v>
      </c>
      <c r="H7" s="550">
        <f>Assumptions!$B$12*Assumptions!$B$11</f>
        <v>0</v>
      </c>
      <c r="I7" s="550">
        <f>Assumptions!$B$12*Assumptions!$B$11</f>
        <v>0</v>
      </c>
      <c r="J7" s="550">
        <f>Assumptions!$B$12*Assumptions!$B$11</f>
        <v>0</v>
      </c>
      <c r="K7" s="550">
        <f>Assumptions!$B$12*Assumptions!$B$11</f>
        <v>0</v>
      </c>
      <c r="L7" s="550">
        <f>Assumptions!$B$12*Assumptions!$B$11</f>
        <v>0</v>
      </c>
      <c r="M7" s="550">
        <f>Assumptions!$B$12*Assumptions!$B$11</f>
        <v>0</v>
      </c>
      <c r="N7" s="577">
        <f>Assumptions!$B$12*Assumptions!$B$11</f>
        <v>0</v>
      </c>
    </row>
    <row r="8" spans="2:14">
      <c r="B8" s="736" t="s">
        <v>44</v>
      </c>
      <c r="C8" s="737"/>
      <c r="D8" s="737"/>
      <c r="E8" s="551">
        <f>E6+E7</f>
        <v>1293202.56</v>
      </c>
      <c r="F8" s="551">
        <f t="shared" ref="F8:N8" si="1">F6+F7</f>
        <v>2476307.73</v>
      </c>
      <c r="G8" s="551">
        <f t="shared" si="1"/>
        <v>3379645.32</v>
      </c>
      <c r="H8" s="551">
        <f t="shared" si="1"/>
        <v>3379645.32</v>
      </c>
      <c r="I8" s="551">
        <f t="shared" si="1"/>
        <v>3752968.2</v>
      </c>
      <c r="J8" s="551">
        <f t="shared" si="1"/>
        <v>5289444.09</v>
      </c>
      <c r="K8" s="551">
        <f t="shared" si="1"/>
        <v>6252927.75</v>
      </c>
      <c r="L8" s="551">
        <f t="shared" si="1"/>
        <v>6252927.75</v>
      </c>
      <c r="M8" s="551">
        <f t="shared" si="1"/>
        <v>6252927.75</v>
      </c>
      <c r="N8" s="579">
        <f t="shared" si="1"/>
        <v>6820287.75</v>
      </c>
    </row>
    <row r="9" spans="2:14">
      <c r="B9" s="738" t="s">
        <v>45</v>
      </c>
      <c r="C9" s="739"/>
      <c r="D9" s="739"/>
      <c r="E9" s="1"/>
      <c r="F9" s="3"/>
      <c r="G9" s="4"/>
      <c r="H9" s="5"/>
      <c r="I9" s="5"/>
      <c r="J9" s="4"/>
      <c r="K9" s="5"/>
      <c r="L9" s="5"/>
      <c r="M9" s="5"/>
      <c r="N9" s="558"/>
    </row>
    <row r="10" spans="2:14">
      <c r="B10" s="725" t="s">
        <v>46</v>
      </c>
      <c r="C10" s="726"/>
      <c r="D10" s="726"/>
      <c r="E10" s="16">
        <f>-Assumptions!$D$9*Assumptions!$B$8</f>
        <v>-7483300</v>
      </c>
      <c r="F10" s="16">
        <f>-Assumptions!$D$9*Assumptions!$B$8</f>
        <v>-7483300</v>
      </c>
      <c r="G10" s="16">
        <f>-Assumptions!$D$9*Assumptions!$B$8</f>
        <v>-7483300</v>
      </c>
      <c r="H10" s="16">
        <f>-Assumptions!$D$9*Assumptions!$B$8</f>
        <v>-7483300</v>
      </c>
      <c r="I10" s="16">
        <f>-Assumptions!$D$9*Assumptions!$B$8</f>
        <v>-7483300</v>
      </c>
      <c r="J10" s="16">
        <f>-Assumptions!$D$9*Assumptions!$B$8</f>
        <v>-7483300</v>
      </c>
      <c r="K10" s="16">
        <f>-Assumptions!$D$9*Assumptions!$B$8</f>
        <v>-7483300</v>
      </c>
      <c r="L10" s="16">
        <f>-Assumptions!$D$9*Assumptions!$B$8</f>
        <v>-7483300</v>
      </c>
      <c r="M10" s="16">
        <f>-Assumptions!$D$9*Assumptions!$B$8</f>
        <v>-7483300</v>
      </c>
      <c r="N10" s="557">
        <f>-Assumptions!$D$9*Assumptions!$B$8</f>
        <v>-7483300</v>
      </c>
    </row>
    <row r="11" spans="2:14">
      <c r="B11" s="725" t="s">
        <v>47</v>
      </c>
      <c r="C11" s="726"/>
      <c r="D11" s="726"/>
      <c r="E11" s="16">
        <f t="shared" ref="E11:N11" si="2">-$C$48</f>
        <v>-406111.88800000009</v>
      </c>
      <c r="F11" s="16">
        <f t="shared" si="2"/>
        <v>-406111.88800000009</v>
      </c>
      <c r="G11" s="16">
        <f t="shared" si="2"/>
        <v>-406111.88800000009</v>
      </c>
      <c r="H11" s="16">
        <f t="shared" si="2"/>
        <v>-406111.88800000009</v>
      </c>
      <c r="I11" s="16">
        <f t="shared" si="2"/>
        <v>-406111.88800000009</v>
      </c>
      <c r="J11" s="16">
        <f t="shared" si="2"/>
        <v>-406111.88800000009</v>
      </c>
      <c r="K11" s="16">
        <f t="shared" si="2"/>
        <v>-406111.88800000009</v>
      </c>
      <c r="L11" s="16">
        <f t="shared" si="2"/>
        <v>-406111.88800000009</v>
      </c>
      <c r="M11" s="16">
        <f t="shared" si="2"/>
        <v>-406111.88800000009</v>
      </c>
      <c r="N11" s="557">
        <f t="shared" si="2"/>
        <v>-406111.88800000009</v>
      </c>
    </row>
    <row r="12" spans="2:14">
      <c r="B12" s="725" t="s">
        <v>48</v>
      </c>
      <c r="C12" s="726"/>
      <c r="D12" s="726"/>
      <c r="E12" s="10">
        <f>-E6*Assumptions!D6</f>
        <v>-51728.102400000003</v>
      </c>
      <c r="F12" s="10">
        <f t="shared" ref="F12:N12" si="3">-F8*0.04</f>
        <v>-99052.309200000003</v>
      </c>
      <c r="G12" s="10">
        <f t="shared" si="3"/>
        <v>-135185.81279999999</v>
      </c>
      <c r="H12" s="10">
        <f t="shared" si="3"/>
        <v>-135185.81279999999</v>
      </c>
      <c r="I12" s="10">
        <f t="shared" si="3"/>
        <v>-150118.728</v>
      </c>
      <c r="J12" s="10">
        <f t="shared" si="3"/>
        <v>-211577.76360000001</v>
      </c>
      <c r="K12" s="10">
        <f t="shared" si="3"/>
        <v>-250117.11000000002</v>
      </c>
      <c r="L12" s="10">
        <f t="shared" si="3"/>
        <v>-250117.11000000002</v>
      </c>
      <c r="M12" s="10">
        <f t="shared" si="3"/>
        <v>-250117.11000000002</v>
      </c>
      <c r="N12" s="564">
        <f t="shared" si="3"/>
        <v>-272811.51</v>
      </c>
    </row>
    <row r="13" spans="2:14">
      <c r="B13" s="725" t="s">
        <v>49</v>
      </c>
      <c r="C13" s="726"/>
      <c r="D13" s="726"/>
      <c r="E13" s="16">
        <f>-$D$40*Assumptions!$D$10</f>
        <v>-825000</v>
      </c>
      <c r="F13" s="16">
        <f>-$D$40*Assumptions!$D$10</f>
        <v>-825000</v>
      </c>
      <c r="G13" s="16">
        <f>-$D$40*Assumptions!$D$10</f>
        <v>-825000</v>
      </c>
      <c r="H13" s="16">
        <f>-$D$40*Assumptions!$D$10</f>
        <v>-825000</v>
      </c>
      <c r="I13" s="16">
        <f>-$D$40*Assumptions!$D$10</f>
        <v>-825000</v>
      </c>
      <c r="J13" s="16">
        <f>-$D$40*Assumptions!$D$10</f>
        <v>-825000</v>
      </c>
      <c r="K13" s="16">
        <f>-$D$40*Assumptions!$D$10</f>
        <v>-825000</v>
      </c>
      <c r="L13" s="16">
        <f>-$D$40*Assumptions!$D$10</f>
        <v>-825000</v>
      </c>
      <c r="M13" s="16">
        <f>-$D$40*Assumptions!$D$10</f>
        <v>-825000</v>
      </c>
      <c r="N13" s="557">
        <f>-$D$40*Assumptions!$D$10</f>
        <v>-825000</v>
      </c>
    </row>
    <row r="14" spans="2:14">
      <c r="B14" s="725" t="s">
        <v>498</v>
      </c>
      <c r="C14" s="726"/>
      <c r="D14" s="726"/>
      <c r="E14" s="10">
        <f>-E6*Assumptions!$B$20</f>
        <v>-38796.076800000003</v>
      </c>
      <c r="F14" s="10">
        <f>-F6*Assumptions!$B$20</f>
        <v>-74289.231899999999</v>
      </c>
      <c r="G14" s="10">
        <f>-G6*Assumptions!$B$20</f>
        <v>-101389.3596</v>
      </c>
      <c r="H14" s="10">
        <f>-H6*Assumptions!$B$20</f>
        <v>-101389.3596</v>
      </c>
      <c r="I14" s="10">
        <f>-I6*Assumptions!$B$20</f>
        <v>-112589.046</v>
      </c>
      <c r="J14" s="10">
        <f>-J6*Assumptions!$B$20</f>
        <v>-158683.32269999999</v>
      </c>
      <c r="K14" s="10">
        <f>-K6*Assumptions!$B$20</f>
        <v>-187587.83249999999</v>
      </c>
      <c r="L14" s="10">
        <f>-L6*Assumptions!$B$20</f>
        <v>-187587.83249999999</v>
      </c>
      <c r="M14" s="10">
        <f>-M6*Assumptions!$B$20</f>
        <v>-187587.83249999999</v>
      </c>
      <c r="N14" s="564">
        <f>-N6*Assumptions!$B$20</f>
        <v>-204608.63249999998</v>
      </c>
    </row>
    <row r="15" spans="2:14">
      <c r="B15" s="742" t="s">
        <v>51</v>
      </c>
      <c r="C15" s="743"/>
      <c r="D15" s="743"/>
      <c r="E15" s="12">
        <f>E10+E12+E14+E11+E13</f>
        <v>-8804936.0672000013</v>
      </c>
      <c r="F15" s="12">
        <f t="shared" ref="F15:N15" si="4">F10+F12+F14+F11+F13</f>
        <v>-8887753.4290999994</v>
      </c>
      <c r="G15" s="12">
        <f t="shared" si="4"/>
        <v>-8950987.0604000017</v>
      </c>
      <c r="H15" s="12">
        <f t="shared" si="4"/>
        <v>-8950987.0604000017</v>
      </c>
      <c r="I15" s="12">
        <f t="shared" si="4"/>
        <v>-8977119.6620000005</v>
      </c>
      <c r="J15" s="12">
        <f t="shared" si="4"/>
        <v>-9084672.9743000008</v>
      </c>
      <c r="K15" s="12">
        <f t="shared" si="4"/>
        <v>-9152116.8304999992</v>
      </c>
      <c r="L15" s="12">
        <f t="shared" si="4"/>
        <v>-9152116.8304999992</v>
      </c>
      <c r="M15" s="12">
        <f t="shared" si="4"/>
        <v>-9152116.8304999992</v>
      </c>
      <c r="N15" s="565">
        <f t="shared" si="4"/>
        <v>-9191832.0305000003</v>
      </c>
    </row>
    <row r="16" spans="2:14">
      <c r="B16" s="580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574"/>
    </row>
    <row r="17" spans="2:14">
      <c r="B17" s="736" t="s">
        <v>52</v>
      </c>
      <c r="C17" s="737"/>
      <c r="D17" s="737"/>
      <c r="E17" s="550">
        <f>E8+E15</f>
        <v>-7511733.5072000008</v>
      </c>
      <c r="F17" s="550">
        <f t="shared" ref="F17:N17" si="5">F8+F15</f>
        <v>-6411445.6990999989</v>
      </c>
      <c r="G17" s="550">
        <f t="shared" si="5"/>
        <v>-5571341.7404000014</v>
      </c>
      <c r="H17" s="550">
        <f t="shared" si="5"/>
        <v>-5571341.7404000014</v>
      </c>
      <c r="I17" s="550">
        <f t="shared" si="5"/>
        <v>-5224151.4620000003</v>
      </c>
      <c r="J17" s="550">
        <f t="shared" si="5"/>
        <v>-3795228.884300001</v>
      </c>
      <c r="K17" s="550">
        <f t="shared" si="5"/>
        <v>-2899189.0804999992</v>
      </c>
      <c r="L17" s="550">
        <f t="shared" si="5"/>
        <v>-2899189.0804999992</v>
      </c>
      <c r="M17" s="550">
        <f t="shared" si="5"/>
        <v>-2899189.0804999992</v>
      </c>
      <c r="N17" s="577">
        <f t="shared" si="5"/>
        <v>-2371544.2805000003</v>
      </c>
    </row>
    <row r="18" spans="2:14">
      <c r="B18" s="744" t="s">
        <v>53</v>
      </c>
      <c r="C18" s="745"/>
      <c r="D18" s="745"/>
      <c r="E18" s="10">
        <f>-$F$36</f>
        <v>-1039500</v>
      </c>
      <c r="F18" s="10">
        <f t="shared" ref="F18:N18" si="6">-$F$36</f>
        <v>-1039500</v>
      </c>
      <c r="G18" s="10">
        <f t="shared" si="6"/>
        <v>-1039500</v>
      </c>
      <c r="H18" s="10">
        <f t="shared" si="6"/>
        <v>-1039500</v>
      </c>
      <c r="I18" s="10">
        <f t="shared" si="6"/>
        <v>-1039500</v>
      </c>
      <c r="J18" s="10">
        <f t="shared" si="6"/>
        <v>-1039500</v>
      </c>
      <c r="K18" s="10">
        <f t="shared" si="6"/>
        <v>-1039500</v>
      </c>
      <c r="L18" s="10">
        <f t="shared" si="6"/>
        <v>-1039500</v>
      </c>
      <c r="M18" s="10">
        <f t="shared" si="6"/>
        <v>-1039500</v>
      </c>
      <c r="N18" s="564">
        <f t="shared" si="6"/>
        <v>-1039500</v>
      </c>
    </row>
    <row r="19" spans="2:14">
      <c r="B19" s="746" t="s">
        <v>499</v>
      </c>
      <c r="C19" s="747"/>
      <c r="D19" s="747"/>
      <c r="E19" s="588">
        <f>-$D$40/Assumptions!$D$7</f>
        <v>-846153.84615384613</v>
      </c>
      <c r="F19" s="588">
        <f>-$D$40/Assumptions!$D$7</f>
        <v>-846153.84615384613</v>
      </c>
      <c r="G19" s="588">
        <f>-$D$40/Assumptions!$D$7</f>
        <v>-846153.84615384613</v>
      </c>
      <c r="H19" s="588">
        <f>-$D$40/Assumptions!$D$7</f>
        <v>-846153.84615384613</v>
      </c>
      <c r="I19" s="588">
        <f>-$D$40/Assumptions!$D$7</f>
        <v>-846153.84615384613</v>
      </c>
      <c r="J19" s="588">
        <f>-$D$40/Assumptions!$D$7</f>
        <v>-846153.84615384613</v>
      </c>
      <c r="K19" s="588">
        <f>-$D$40/Assumptions!$D$7</f>
        <v>-846153.84615384613</v>
      </c>
      <c r="L19" s="588">
        <f>-$D$40/Assumptions!$D$7</f>
        <v>-846153.84615384613</v>
      </c>
      <c r="M19" s="588">
        <f>-$D$40/Assumptions!$D$7</f>
        <v>-846153.84615384613</v>
      </c>
      <c r="N19" s="589">
        <f>-$D$40/Assumptions!$D$7</f>
        <v>-846153.84615384613</v>
      </c>
    </row>
    <row r="20" spans="2:14">
      <c r="B20" s="470" t="s">
        <v>500</v>
      </c>
      <c r="E20" s="588">
        <f>-C41/Assumptions!D8</f>
        <v>-3401500</v>
      </c>
      <c r="F20" s="588"/>
      <c r="G20" s="588"/>
      <c r="H20" s="588"/>
      <c r="I20" s="588"/>
      <c r="J20" s="588"/>
      <c r="K20" s="588"/>
      <c r="L20" s="588"/>
      <c r="M20" s="588"/>
      <c r="N20" s="589"/>
    </row>
    <row r="21" spans="2:14">
      <c r="B21" s="746" t="s">
        <v>56</v>
      </c>
      <c r="C21" s="747"/>
      <c r="D21" s="747"/>
      <c r="E21" s="10">
        <f>E17+E18+E19+E20</f>
        <v>-12798887.353353847</v>
      </c>
      <c r="F21" s="10">
        <f t="shared" ref="F21:N21" si="7">F17+F18+F19+F20</f>
        <v>-8297099.5452538449</v>
      </c>
      <c r="G21" s="10">
        <f t="shared" si="7"/>
        <v>-7456995.5865538474</v>
      </c>
      <c r="H21" s="10">
        <f t="shared" si="7"/>
        <v>-7456995.5865538474</v>
      </c>
      <c r="I21" s="10">
        <f t="shared" si="7"/>
        <v>-7109805.3081538463</v>
      </c>
      <c r="J21" s="10">
        <f t="shared" si="7"/>
        <v>-5680882.730453847</v>
      </c>
      <c r="K21" s="10">
        <f t="shared" si="7"/>
        <v>-4784842.9266538452</v>
      </c>
      <c r="L21" s="10">
        <f t="shared" si="7"/>
        <v>-4784842.9266538452</v>
      </c>
      <c r="M21" s="10">
        <f t="shared" si="7"/>
        <v>-4784842.9266538452</v>
      </c>
      <c r="N21" s="564">
        <f t="shared" si="7"/>
        <v>-4257198.1266538464</v>
      </c>
    </row>
    <row r="22" spans="2:14">
      <c r="B22" s="748" t="s">
        <v>501</v>
      </c>
      <c r="C22" s="747"/>
      <c r="D22" s="747"/>
      <c r="E22" s="10">
        <f>Infra!E6*Infra!$I$77</f>
        <v>2735200</v>
      </c>
      <c r="F22" s="10">
        <f>Infra!F6*Infra!$I$77</f>
        <v>2502337.5</v>
      </c>
      <c r="G22" s="10">
        <f>Infra!G6*Infra!$I$77</f>
        <v>1910612.5</v>
      </c>
      <c r="H22" s="10">
        <f>Infra!H6*Infra!$I$77</f>
        <v>0</v>
      </c>
      <c r="I22" s="10">
        <f>Infra!I6*Infra!$I$77</f>
        <v>789600</v>
      </c>
      <c r="J22" s="10">
        <f>Infra!J6*Infra!$I$77</f>
        <v>3249737.5</v>
      </c>
      <c r="K22" s="10">
        <f>Infra!K6*Infra!$I$77</f>
        <v>2037825</v>
      </c>
      <c r="L22" s="10">
        <f>Infra!L6*Infra!$I$77</f>
        <v>0</v>
      </c>
      <c r="M22" s="10">
        <f>Infra!M6*Infra!$I$77</f>
        <v>0</v>
      </c>
      <c r="N22" s="564">
        <f>Infra!N6*Infra!$I$77</f>
        <v>1200000</v>
      </c>
    </row>
    <row r="23" spans="2:14">
      <c r="B23" s="746" t="s">
        <v>288</v>
      </c>
      <c r="C23" s="747"/>
      <c r="D23" s="747"/>
      <c r="E23" s="10">
        <f>E21*Assumptions!$D$24</f>
        <v>-1311885.9537187691</v>
      </c>
      <c r="F23" s="10">
        <f>F21*Assumptions!$D$24</f>
        <v>-850452.703388519</v>
      </c>
      <c r="G23" s="10">
        <f>G21*Assumptions!$D$24</f>
        <v>-764342.04762176936</v>
      </c>
      <c r="H23" s="10">
        <f>H21*Assumptions!$D$24</f>
        <v>-764342.04762176936</v>
      </c>
      <c r="I23" s="10">
        <f>I21*Assumptions!$D$24</f>
        <v>-728755.04408576922</v>
      </c>
      <c r="J23" s="10">
        <f>J21*Assumptions!$D$24</f>
        <v>-582290.47987151926</v>
      </c>
      <c r="K23" s="10">
        <f>K21*Assumptions!$D$24</f>
        <v>-490446.39998201909</v>
      </c>
      <c r="L23" s="10">
        <f>L21*Assumptions!$D$24</f>
        <v>-490446.39998201909</v>
      </c>
      <c r="M23" s="10">
        <f>M21*Assumptions!$D$24</f>
        <v>-490446.39998201909</v>
      </c>
      <c r="N23" s="564">
        <f>N21*Assumptions!$D$24</f>
        <v>-436362.80798201921</v>
      </c>
    </row>
    <row r="24" spans="2:14">
      <c r="B24" s="746" t="s">
        <v>59</v>
      </c>
      <c r="C24" s="747"/>
      <c r="D24" s="747"/>
      <c r="E24" s="10">
        <f>E17-E23</f>
        <v>-6199847.5534812314</v>
      </c>
      <c r="F24" s="10">
        <f t="shared" ref="F24:N24" si="8">F17-F23</f>
        <v>-5560992.9957114803</v>
      </c>
      <c r="G24" s="10">
        <f t="shared" si="8"/>
        <v>-4806999.6927782316</v>
      </c>
      <c r="H24" s="10">
        <f t="shared" si="8"/>
        <v>-4806999.6927782316</v>
      </c>
      <c r="I24" s="10">
        <f t="shared" si="8"/>
        <v>-4495396.4179142313</v>
      </c>
      <c r="J24" s="10">
        <f t="shared" si="8"/>
        <v>-3212938.4044284816</v>
      </c>
      <c r="K24" s="10">
        <f t="shared" si="8"/>
        <v>-2408742.6805179799</v>
      </c>
      <c r="L24" s="10">
        <f t="shared" si="8"/>
        <v>-2408742.6805179799</v>
      </c>
      <c r="M24" s="10">
        <f t="shared" si="8"/>
        <v>-2408742.6805179799</v>
      </c>
      <c r="N24" s="564">
        <f t="shared" si="8"/>
        <v>-1935181.4725179812</v>
      </c>
    </row>
    <row r="25" spans="2:14">
      <c r="B25" s="746" t="s">
        <v>502</v>
      </c>
      <c r="C25" s="747"/>
      <c r="D25" s="747"/>
      <c r="E25" s="10">
        <f>$F$36</f>
        <v>1039500</v>
      </c>
      <c r="F25" s="10">
        <f t="shared" ref="F25:N25" si="9">$F$36</f>
        <v>1039500</v>
      </c>
      <c r="G25" s="10">
        <f t="shared" si="9"/>
        <v>1039500</v>
      </c>
      <c r="H25" s="10">
        <f t="shared" si="9"/>
        <v>1039500</v>
      </c>
      <c r="I25" s="10">
        <f t="shared" si="9"/>
        <v>1039500</v>
      </c>
      <c r="J25" s="10">
        <f t="shared" si="9"/>
        <v>1039500</v>
      </c>
      <c r="K25" s="10">
        <f t="shared" si="9"/>
        <v>1039500</v>
      </c>
      <c r="L25" s="10">
        <f t="shared" si="9"/>
        <v>1039500</v>
      </c>
      <c r="M25" s="10">
        <f t="shared" si="9"/>
        <v>1039500</v>
      </c>
      <c r="N25" s="564">
        <f t="shared" si="9"/>
        <v>1039500</v>
      </c>
    </row>
    <row r="26" spans="2:14">
      <c r="B26" s="569" t="s">
        <v>503</v>
      </c>
      <c r="E26" s="10">
        <f>'Affordable Housing NOI'!N26</f>
        <v>536955030.83599997</v>
      </c>
      <c r="F26" s="10">
        <f>E26+E17</f>
        <v>529443297.32879996</v>
      </c>
      <c r="G26" s="10">
        <f t="shared" ref="G26:J26" si="10">F26+F17</f>
        <v>523031851.62969995</v>
      </c>
      <c r="H26" s="10">
        <f t="shared" si="10"/>
        <v>517460509.88929993</v>
      </c>
      <c r="I26" s="10">
        <f t="shared" si="10"/>
        <v>511889168.14889991</v>
      </c>
      <c r="J26" s="10">
        <f t="shared" si="10"/>
        <v>506665016.6868999</v>
      </c>
      <c r="K26" s="10">
        <f t="shared" ref="G26:N26" si="11">J26+J17</f>
        <v>502869787.80259991</v>
      </c>
      <c r="L26" s="10">
        <f t="shared" si="11"/>
        <v>499970598.7220999</v>
      </c>
      <c r="M26" s="10">
        <f t="shared" si="11"/>
        <v>497071409.64159989</v>
      </c>
      <c r="N26" s="564">
        <f t="shared" si="11"/>
        <v>494172220.56109989</v>
      </c>
    </row>
    <row r="27" spans="2:14">
      <c r="B27" s="749" t="s">
        <v>62</v>
      </c>
      <c r="C27" s="750"/>
      <c r="D27" s="750"/>
      <c r="E27" s="584">
        <f>E24/E25</f>
        <v>-5.9642593107082558</v>
      </c>
      <c r="F27" s="584">
        <f t="shared" ref="F27:N27" si="12">F24/F25</f>
        <v>-5.3496806115550557</v>
      </c>
      <c r="G27" s="584">
        <f t="shared" si="12"/>
        <v>-4.6243383287909872</v>
      </c>
      <c r="H27" s="584">
        <f t="shared" si="12"/>
        <v>-4.6243383287909872</v>
      </c>
      <c r="I27" s="584">
        <f t="shared" si="12"/>
        <v>-4.3245756786091691</v>
      </c>
      <c r="J27" s="584">
        <f t="shared" si="12"/>
        <v>-3.0908498359100354</v>
      </c>
      <c r="K27" s="584">
        <f t="shared" si="12"/>
        <v>-2.3172127758710723</v>
      </c>
      <c r="L27" s="584">
        <f t="shared" si="12"/>
        <v>-2.3172127758710723</v>
      </c>
      <c r="M27" s="584">
        <f t="shared" si="12"/>
        <v>-2.3172127758710723</v>
      </c>
      <c r="N27" s="585">
        <f t="shared" si="12"/>
        <v>-1.8616464382087361</v>
      </c>
    </row>
    <row r="28" spans="2:14">
      <c r="B28" s="469" t="s">
        <v>504</v>
      </c>
      <c r="E28" s="550">
        <f>SUM(-E22,E17,E26)</f>
        <v>526708097.32879996</v>
      </c>
      <c r="F28" s="550">
        <f t="shared" ref="F28:N28" si="13">SUM(-F22,F17,F26)</f>
        <v>520529514.12969995</v>
      </c>
      <c r="G28" s="550">
        <f t="shared" si="13"/>
        <v>515549897.38929993</v>
      </c>
      <c r="H28" s="550">
        <f t="shared" si="13"/>
        <v>511889168.14889991</v>
      </c>
      <c r="I28" s="550">
        <f t="shared" si="13"/>
        <v>505875416.6868999</v>
      </c>
      <c r="J28" s="550">
        <f t="shared" si="13"/>
        <v>499620050.30259991</v>
      </c>
      <c r="K28" s="550">
        <f t="shared" si="13"/>
        <v>497932773.7220999</v>
      </c>
      <c r="L28" s="550">
        <f t="shared" si="13"/>
        <v>497071409.64159989</v>
      </c>
      <c r="M28" s="550">
        <f t="shared" si="13"/>
        <v>494172220.56109989</v>
      </c>
      <c r="N28" s="577">
        <f t="shared" si="13"/>
        <v>490600676.28059989</v>
      </c>
    </row>
    <row r="29" spans="2:14" ht="14.1" thickBot="1">
      <c r="B29" s="740" t="s">
        <v>63</v>
      </c>
      <c r="C29" s="741"/>
      <c r="D29" s="741"/>
      <c r="E29" s="554">
        <f>((E27-1))*E25</f>
        <v>-7239347.5534812314</v>
      </c>
      <c r="F29" s="554">
        <f t="shared" ref="F29:N29" si="14">((F27-1))*F25</f>
        <v>-6600492.9957114803</v>
      </c>
      <c r="G29" s="554">
        <f t="shared" si="14"/>
        <v>-5846499.6927782316</v>
      </c>
      <c r="H29" s="554">
        <f t="shared" si="14"/>
        <v>-5846499.6927782316</v>
      </c>
      <c r="I29" s="554">
        <f t="shared" si="14"/>
        <v>-5534896.4179142313</v>
      </c>
      <c r="J29" s="554">
        <f t="shared" si="14"/>
        <v>-4252438.4044284811</v>
      </c>
      <c r="K29" s="554">
        <f t="shared" si="14"/>
        <v>-3448242.6805179799</v>
      </c>
      <c r="L29" s="554">
        <f t="shared" si="14"/>
        <v>-3448242.6805179799</v>
      </c>
      <c r="M29" s="554">
        <f t="shared" si="14"/>
        <v>-3448242.6805179799</v>
      </c>
      <c r="N29" s="590">
        <f t="shared" si="14"/>
        <v>-2974681.4725179812</v>
      </c>
    </row>
    <row r="30" spans="2:14">
      <c r="B30" s="70"/>
      <c r="C30" s="70"/>
      <c r="D30" s="70"/>
      <c r="E30" s="144">
        <v>0</v>
      </c>
      <c r="F30" s="144">
        <f>(F4-E4)/E4</f>
        <v>0.91486454372623571</v>
      </c>
      <c r="G30" s="144">
        <f t="shared" ref="G30:N30" si="15">(G4-F4)/F4</f>
        <v>0.36479213752646161</v>
      </c>
      <c r="H30" s="144">
        <f t="shared" si="15"/>
        <v>0</v>
      </c>
      <c r="I30" s="144">
        <f t="shared" si="15"/>
        <v>0.11046214754866644</v>
      </c>
      <c r="J30" s="144">
        <f t="shared" si="15"/>
        <v>0.40940285345343452</v>
      </c>
      <c r="K30" s="144">
        <f t="shared" si="15"/>
        <v>0.18215215882922775</v>
      </c>
      <c r="L30" s="144">
        <f t="shared" si="15"/>
        <v>0</v>
      </c>
      <c r="M30" s="144">
        <f t="shared" si="15"/>
        <v>0</v>
      </c>
      <c r="N30" s="144">
        <f t="shared" si="15"/>
        <v>9.0735096051605582E-2</v>
      </c>
    </row>
    <row r="31" spans="2:14">
      <c r="E31" s="591">
        <f>AVERAGE(E30:N30,'Affordable Housing NOI'!E30:N30,'Office NOI'!E29:N29,'Retail NOI'!E29:N29,'Hotel NOI'!E29:N29)</f>
        <v>0.14826223215056256</v>
      </c>
    </row>
    <row r="32" spans="2:14">
      <c r="B32" t="s">
        <v>505</v>
      </c>
      <c r="C32" s="14">
        <f>Assumptions!B19</f>
        <v>5.8299999999999998E-2</v>
      </c>
    </row>
    <row r="33" spans="2:12">
      <c r="B33" t="s">
        <v>506</v>
      </c>
      <c r="C33" s="7">
        <f>N17/C32</f>
        <v>-40678289.545454554</v>
      </c>
      <c r="D33" s="7"/>
      <c r="E33" t="s">
        <v>489</v>
      </c>
      <c r="F33" s="10">
        <f>D40*Assumptions!D16</f>
        <v>23100000</v>
      </c>
      <c r="H33">
        <f>E15/F33</f>
        <v>-0.38116606351515159</v>
      </c>
      <c r="I33" s="18"/>
      <c r="J33" s="6"/>
      <c r="K33" s="6"/>
      <c r="L33" s="6"/>
    </row>
    <row r="34" spans="2:12">
      <c r="C34" s="7"/>
      <c r="E34" s="70" t="s">
        <v>507</v>
      </c>
      <c r="F34" s="10">
        <f>(F33*Assumptions!D17)/12</f>
        <v>86625</v>
      </c>
      <c r="J34" s="6"/>
      <c r="K34" s="6"/>
      <c r="L34" s="6"/>
    </row>
    <row r="35" spans="2:12">
      <c r="B35" t="s">
        <v>508</v>
      </c>
      <c r="C35" s="7">
        <v>350000</v>
      </c>
      <c r="E35" s="70" t="s">
        <v>509</v>
      </c>
      <c r="F35" s="10">
        <f>F34*12</f>
        <v>1039500</v>
      </c>
      <c r="J35" s="6"/>
      <c r="K35" s="6"/>
      <c r="L35" s="6"/>
    </row>
    <row r="36" spans="2:12">
      <c r="B36" t="s">
        <v>510</v>
      </c>
      <c r="C36" s="7">
        <f>C35*Assumptions!B10</f>
        <v>238104999.99999997</v>
      </c>
      <c r="E36" t="s">
        <v>511</v>
      </c>
      <c r="F36" s="10">
        <f>F35</f>
        <v>1039500</v>
      </c>
      <c r="J36" s="6"/>
      <c r="K36" s="6"/>
      <c r="L36" s="6"/>
    </row>
    <row r="37" spans="2:12">
      <c r="B37" s="70" t="s">
        <v>512</v>
      </c>
      <c r="C37" s="144">
        <v>0.03</v>
      </c>
      <c r="F37" s="6"/>
      <c r="J37" s="6"/>
      <c r="K37" s="6"/>
      <c r="L37" s="6"/>
    </row>
    <row r="38" spans="2:12">
      <c r="B38" t="s">
        <v>513</v>
      </c>
      <c r="C38" s="7">
        <f>(C33+C36)/2</f>
        <v>98713355.227272704</v>
      </c>
      <c r="E38" s="70"/>
      <c r="J38" s="6"/>
      <c r="K38" s="6"/>
      <c r="L38" s="6"/>
    </row>
    <row r="39" spans="2:12">
      <c r="C39" s="7"/>
      <c r="J39" s="6"/>
      <c r="K39" s="6"/>
      <c r="L39" s="6"/>
    </row>
    <row r="40" spans="2:12">
      <c r="B40" t="s">
        <v>514</v>
      </c>
      <c r="C40" s="8">
        <f>Assumptions!D11*Assumptions!B8</f>
        <v>221097500</v>
      </c>
      <c r="D40" s="65">
        <v>33000000</v>
      </c>
      <c r="J40" s="6"/>
      <c r="K40" s="6"/>
      <c r="L40" s="6"/>
    </row>
    <row r="41" spans="2:12">
      <c r="B41" t="s">
        <v>515</v>
      </c>
      <c r="C41" s="8">
        <f>Assumptions!B13*Assumptions!B10</f>
        <v>3401500</v>
      </c>
      <c r="I41" s="19"/>
      <c r="J41" s="6"/>
      <c r="K41" s="6"/>
      <c r="L41" s="6"/>
    </row>
    <row r="42" spans="2:12">
      <c r="B42" t="s">
        <v>516</v>
      </c>
      <c r="C42" s="8">
        <f>C40*0.8</f>
        <v>176878000</v>
      </c>
      <c r="I42" s="19"/>
      <c r="J42" s="6"/>
      <c r="K42" s="6"/>
      <c r="L42" s="6"/>
    </row>
    <row r="43" spans="2:12">
      <c r="B43" s="70" t="s">
        <v>517</v>
      </c>
      <c r="C43" s="8">
        <f>C42*Assumptions!D4</f>
        <v>24762920.000000004</v>
      </c>
    </row>
    <row r="44" spans="2:12">
      <c r="B44" s="70" t="s">
        <v>518</v>
      </c>
      <c r="C44" s="2">
        <v>8.2000000000000007E-3</v>
      </c>
    </row>
    <row r="46" spans="2:12">
      <c r="B46" t="s">
        <v>519</v>
      </c>
      <c r="C46" s="15">
        <f>C43*C44</f>
        <v>203055.94400000005</v>
      </c>
    </row>
    <row r="47" spans="2:12">
      <c r="B47" t="s">
        <v>520</v>
      </c>
      <c r="C47" s="15">
        <f>C46</f>
        <v>203055.94400000005</v>
      </c>
    </row>
    <row r="48" spans="2:12">
      <c r="B48" t="s">
        <v>521</v>
      </c>
      <c r="C48" s="15">
        <f>C46+C47</f>
        <v>406111.88800000009</v>
      </c>
    </row>
  </sheetData>
  <mergeCells count="24">
    <mergeCell ref="B29:D29"/>
    <mergeCell ref="B14:D14"/>
    <mergeCell ref="B15:D15"/>
    <mergeCell ref="B17:D17"/>
    <mergeCell ref="B18:D18"/>
    <mergeCell ref="B19:D19"/>
    <mergeCell ref="B21:D21"/>
    <mergeCell ref="B22:D22"/>
    <mergeCell ref="B23:D23"/>
    <mergeCell ref="B24:D24"/>
    <mergeCell ref="B25:D25"/>
    <mergeCell ref="B27:D27"/>
    <mergeCell ref="B13:D13"/>
    <mergeCell ref="B2:N2"/>
    <mergeCell ref="B3:D3"/>
    <mergeCell ref="B4:D4"/>
    <mergeCell ref="B5:D5"/>
    <mergeCell ref="B6:D6"/>
    <mergeCell ref="B7:D7"/>
    <mergeCell ref="B8:D8"/>
    <mergeCell ref="B9:D9"/>
    <mergeCell ref="B10:D10"/>
    <mergeCell ref="B11:D11"/>
    <mergeCell ref="B12:D12"/>
  </mergeCells>
  <pageMargins left="0.7" right="0.7" top="0.75" bottom="0.75" header="0.3" footer="0.3"/>
  <pageSetup orientation="portrait" horizontalDpi="90" verticalDpi="9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D56E5-CBC9-4BB2-A79B-F23A2003CF27}">
  <sheetPr>
    <tabColor theme="6" tint="0.79998168889431442"/>
  </sheetPr>
  <dimension ref="B1:N48"/>
  <sheetViews>
    <sheetView workbookViewId="0">
      <selection activeCell="N31" sqref="N31"/>
    </sheetView>
  </sheetViews>
  <sheetFormatPr defaultColWidth="9" defaultRowHeight="12.95"/>
  <cols>
    <col min="1" max="1" width="9.33203125"/>
    <col min="2" max="2" width="25" bestFit="1" customWidth="1"/>
    <col min="3" max="3" width="26" customWidth="1"/>
    <col min="4" max="4" width="15.6640625" bestFit="1" customWidth="1"/>
    <col min="5" max="5" width="17.1640625" customWidth="1"/>
    <col min="6" max="6" width="20.6640625" customWidth="1"/>
    <col min="7" max="7" width="19.6640625" customWidth="1"/>
    <col min="8" max="8" width="18.33203125" customWidth="1"/>
    <col min="9" max="11" width="17.6640625" customWidth="1"/>
    <col min="12" max="12" width="18" customWidth="1"/>
    <col min="13" max="13" width="19" customWidth="1"/>
    <col min="14" max="14" width="16.6640625" customWidth="1"/>
  </cols>
  <sheetData>
    <row r="1" spans="2:14" ht="14.1" thickBot="1"/>
    <row r="2" spans="2:14" ht="18">
      <c r="B2" s="727" t="s">
        <v>497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9"/>
    </row>
    <row r="3" spans="2:14" ht="18">
      <c r="B3" s="730" t="s">
        <v>39</v>
      </c>
      <c r="C3" s="731"/>
      <c r="D3" s="731"/>
      <c r="E3" s="54">
        <v>2024</v>
      </c>
      <c r="F3" s="54">
        <v>2025</v>
      </c>
      <c r="G3" s="54">
        <v>2026</v>
      </c>
      <c r="H3" s="54">
        <v>2027</v>
      </c>
      <c r="I3" s="425">
        <v>2028</v>
      </c>
      <c r="J3" s="54">
        <v>2029</v>
      </c>
      <c r="K3" s="425">
        <v>2030</v>
      </c>
      <c r="L3" s="54">
        <v>2031</v>
      </c>
      <c r="M3" s="54">
        <v>2032</v>
      </c>
      <c r="N3" s="556">
        <v>2033</v>
      </c>
    </row>
    <row r="4" spans="2:14" ht="12.95" customHeight="1">
      <c r="B4" s="732" t="s">
        <v>40</v>
      </c>
      <c r="C4" s="733"/>
      <c r="D4" s="733"/>
      <c r="E4" s="550">
        <f>((Infra!E7)*12)*(1-Assumptions!D46+0.5)</f>
        <v>0</v>
      </c>
      <c r="F4" s="550">
        <f>(((Infra!E7+Infra!F7)*Assumptions!$D$46))</f>
        <v>0</v>
      </c>
      <c r="G4" s="550">
        <f>(((Infra!F7+Infra!G7+Infra!E7)*Assumptions!$D$46))</f>
        <v>0</v>
      </c>
      <c r="H4" s="550">
        <f>(((Infra!G7+Infra!H7+Infra!F7+Infra!E7)*Assumptions!$B$25))*(1-Assumptions!$B$31+0.5)</f>
        <v>9377040</v>
      </c>
      <c r="I4" s="550">
        <f>(((Infra!H7+Infra!I7+Infra!G7+Infra!F7+Infra!E7)*Assumptions!$B$25))*(1-Assumptions!$B$31+0.5)</f>
        <v>9377040</v>
      </c>
      <c r="J4" s="550">
        <f>(((Infra!I7+Infra!J7+Infra!H7)*Assumptions!$B$25))*(1-Assumptions!$B$31+0.5)</f>
        <v>9377040</v>
      </c>
      <c r="K4" s="550">
        <f>(((Infra!J7+Infra!K7+Infra!I7)*Assumptions!$B$25))*(1-Assumptions!$B$31+0.5)</f>
        <v>0</v>
      </c>
      <c r="L4" s="550">
        <f>(((Infra!K7+Infra!L7+Infra!J7)*Assumptions!$B$25))*(1-Assumptions!$B$31+0.5)</f>
        <v>0</v>
      </c>
      <c r="M4" s="550">
        <f>(((Infra!L7+Infra!M7+Infra!K7)*Assumptions!$B$25))*(1-Assumptions!$B$31+0.5)</f>
        <v>0</v>
      </c>
      <c r="N4" s="577">
        <f>(((Infra!M7+Infra!N7+Infra!L7)*Assumptions!$B$25))*(1-Assumptions!$B$31+0.5)</f>
        <v>0</v>
      </c>
    </row>
    <row r="5" spans="2:14">
      <c r="B5" s="725" t="s">
        <v>41</v>
      </c>
      <c r="C5" s="726"/>
      <c r="D5" s="726"/>
      <c r="E5" s="10">
        <f>-Assumptions!$B$16*'Affordable Housing NOI'!E4</f>
        <v>0</v>
      </c>
      <c r="F5" s="10">
        <f>-Assumptions!$B$16*'Affordable Housing NOI'!F4</f>
        <v>0</v>
      </c>
      <c r="G5" s="10">
        <f>-Assumptions!$B$16*'Affordable Housing NOI'!G4</f>
        <v>0</v>
      </c>
      <c r="H5" s="10">
        <f>-Assumptions!$B$16*'Affordable Housing NOI'!H4</f>
        <v>-140655.6</v>
      </c>
      <c r="I5" s="10">
        <f>-Assumptions!$B$16*'Affordable Housing NOI'!I4</f>
        <v>-140655.6</v>
      </c>
      <c r="J5" s="10">
        <f>-Assumptions!$B$16*'Affordable Housing NOI'!J4</f>
        <v>-140655.6</v>
      </c>
      <c r="K5" s="10">
        <f>-Assumptions!$B$16*'Affordable Housing NOI'!K4</f>
        <v>0</v>
      </c>
      <c r="L5" s="10">
        <f>-Assumptions!$B$16*'Affordable Housing NOI'!L4</f>
        <v>0</v>
      </c>
      <c r="M5" s="10">
        <f>-Assumptions!$B$16*'Affordable Housing NOI'!M4</f>
        <v>0</v>
      </c>
      <c r="N5" s="564">
        <f>-Assumptions!$B$16*'Affordable Housing NOI'!N4</f>
        <v>0</v>
      </c>
    </row>
    <row r="6" spans="2:14">
      <c r="B6" s="734" t="s">
        <v>42</v>
      </c>
      <c r="C6" s="735"/>
      <c r="D6" s="735"/>
      <c r="E6" s="10">
        <f>E4+E5</f>
        <v>0</v>
      </c>
      <c r="F6" s="10">
        <f t="shared" ref="F6:N6" si="0">F4+F5</f>
        <v>0</v>
      </c>
      <c r="G6" s="10">
        <f t="shared" si="0"/>
        <v>0</v>
      </c>
      <c r="H6" s="10">
        <f t="shared" si="0"/>
        <v>9236384.4000000004</v>
      </c>
      <c r="I6" s="10">
        <f t="shared" si="0"/>
        <v>9236384.4000000004</v>
      </c>
      <c r="J6" s="10">
        <f t="shared" si="0"/>
        <v>9236384.4000000004</v>
      </c>
      <c r="K6" s="10">
        <f t="shared" si="0"/>
        <v>0</v>
      </c>
      <c r="L6" s="10">
        <f t="shared" si="0"/>
        <v>0</v>
      </c>
      <c r="M6" s="10">
        <f t="shared" si="0"/>
        <v>0</v>
      </c>
      <c r="N6" s="564">
        <f t="shared" si="0"/>
        <v>0</v>
      </c>
    </row>
    <row r="7" spans="2:14">
      <c r="B7" s="736" t="s">
        <v>43</v>
      </c>
      <c r="C7" s="737"/>
      <c r="D7" s="737"/>
      <c r="E7" s="550">
        <f>Assumptions!$B$12*Assumptions!$B$11</f>
        <v>0</v>
      </c>
      <c r="F7" s="550">
        <f>Assumptions!$B$12*Assumptions!$B$11</f>
        <v>0</v>
      </c>
      <c r="G7" s="550">
        <f>Assumptions!$B$12*Assumptions!$B$11</f>
        <v>0</v>
      </c>
      <c r="H7" s="550">
        <f>Assumptions!$B$12*Assumptions!$B$11</f>
        <v>0</v>
      </c>
      <c r="I7" s="550">
        <f>Assumptions!$B$12*Assumptions!$B$11</f>
        <v>0</v>
      </c>
      <c r="J7" s="550">
        <f>Assumptions!$B$12*Assumptions!$B$11</f>
        <v>0</v>
      </c>
      <c r="K7" s="550">
        <f>Assumptions!$B$12*Assumptions!$B$11</f>
        <v>0</v>
      </c>
      <c r="L7" s="550">
        <f>Assumptions!$B$12*Assumptions!$B$11</f>
        <v>0</v>
      </c>
      <c r="M7" s="550">
        <f>Assumptions!$B$12*Assumptions!$B$11</f>
        <v>0</v>
      </c>
      <c r="N7" s="577">
        <f>Assumptions!$B$12*Assumptions!$B$11</f>
        <v>0</v>
      </c>
    </row>
    <row r="8" spans="2:14">
      <c r="B8" s="736" t="s">
        <v>44</v>
      </c>
      <c r="C8" s="737"/>
      <c r="D8" s="737"/>
      <c r="E8" s="551">
        <f>E6+E7</f>
        <v>0</v>
      </c>
      <c r="F8" s="551">
        <f t="shared" ref="F8:N8" si="1">F6+F7</f>
        <v>0</v>
      </c>
      <c r="G8" s="551">
        <f t="shared" si="1"/>
        <v>0</v>
      </c>
      <c r="H8" s="551">
        <f t="shared" si="1"/>
        <v>9236384.4000000004</v>
      </c>
      <c r="I8" s="551">
        <f t="shared" si="1"/>
        <v>9236384.4000000004</v>
      </c>
      <c r="J8" s="551">
        <f t="shared" si="1"/>
        <v>9236384.4000000004</v>
      </c>
      <c r="K8" s="551">
        <f t="shared" si="1"/>
        <v>0</v>
      </c>
      <c r="L8" s="551">
        <f t="shared" si="1"/>
        <v>0</v>
      </c>
      <c r="M8" s="551">
        <f t="shared" si="1"/>
        <v>0</v>
      </c>
      <c r="N8" s="579">
        <f t="shared" si="1"/>
        <v>0</v>
      </c>
    </row>
    <row r="9" spans="2:14">
      <c r="B9" s="738" t="s">
        <v>45</v>
      </c>
      <c r="C9" s="739"/>
      <c r="D9" s="739"/>
      <c r="E9" s="1"/>
      <c r="F9" s="3"/>
      <c r="G9" s="4"/>
      <c r="H9" s="5"/>
      <c r="I9" s="5"/>
      <c r="J9" s="4"/>
      <c r="K9" s="5"/>
      <c r="L9" s="5"/>
      <c r="M9" s="5"/>
      <c r="N9" s="558"/>
    </row>
    <row r="10" spans="2:14">
      <c r="B10" s="725" t="s">
        <v>46</v>
      </c>
      <c r="C10" s="726"/>
      <c r="D10" s="726"/>
      <c r="E10" s="550">
        <v>0</v>
      </c>
      <c r="F10" s="550">
        <v>0</v>
      </c>
      <c r="G10" s="550">
        <v>0</v>
      </c>
      <c r="H10" s="550">
        <v>0</v>
      </c>
      <c r="I10" s="550">
        <v>0</v>
      </c>
      <c r="J10" s="550">
        <v>0</v>
      </c>
      <c r="K10" s="550">
        <v>0</v>
      </c>
      <c r="L10" s="550">
        <v>0</v>
      </c>
      <c r="M10" s="550">
        <v>0</v>
      </c>
      <c r="N10" s="577">
        <v>0</v>
      </c>
    </row>
    <row r="11" spans="2:14">
      <c r="B11" s="725" t="s">
        <v>47</v>
      </c>
      <c r="C11" s="726"/>
      <c r="D11" s="726"/>
      <c r="E11" s="550">
        <f t="shared" ref="E11:N11" si="2">-$C$48</f>
        <v>-265497.96000000008</v>
      </c>
      <c r="F11" s="550">
        <f t="shared" si="2"/>
        <v>-265497.96000000008</v>
      </c>
      <c r="G11" s="550">
        <f t="shared" si="2"/>
        <v>-265497.96000000008</v>
      </c>
      <c r="H11" s="550">
        <f t="shared" si="2"/>
        <v>-265497.96000000008</v>
      </c>
      <c r="I11" s="550">
        <f t="shared" si="2"/>
        <v>-265497.96000000008</v>
      </c>
      <c r="J11" s="550">
        <f t="shared" si="2"/>
        <v>-265497.96000000008</v>
      </c>
      <c r="K11" s="550">
        <f t="shared" si="2"/>
        <v>-265497.96000000008</v>
      </c>
      <c r="L11" s="550">
        <f t="shared" si="2"/>
        <v>-265497.96000000008</v>
      </c>
      <c r="M11" s="550">
        <f t="shared" si="2"/>
        <v>-265497.96000000008</v>
      </c>
      <c r="N11" s="577">
        <f t="shared" si="2"/>
        <v>-265497.96000000008</v>
      </c>
    </row>
    <row r="12" spans="2:14">
      <c r="B12" s="725" t="s">
        <v>48</v>
      </c>
      <c r="C12" s="726"/>
      <c r="D12" s="726"/>
      <c r="E12" s="550">
        <f>-E6*Assumptions!D6</f>
        <v>0</v>
      </c>
      <c r="F12" s="550">
        <f>-F8*0.04</f>
        <v>0</v>
      </c>
      <c r="G12" s="550">
        <f>-G8*0.04</f>
        <v>0</v>
      </c>
      <c r="H12" s="550">
        <f t="shared" ref="H12:N12" si="3">-H8*0.04</f>
        <v>-369455.37600000005</v>
      </c>
      <c r="I12" s="550">
        <f t="shared" si="3"/>
        <v>-369455.37600000005</v>
      </c>
      <c r="J12" s="550">
        <f t="shared" si="3"/>
        <v>-369455.37600000005</v>
      </c>
      <c r="K12" s="550">
        <f t="shared" si="3"/>
        <v>0</v>
      </c>
      <c r="L12" s="550">
        <f t="shared" si="3"/>
        <v>0</v>
      </c>
      <c r="M12" s="550">
        <f t="shared" si="3"/>
        <v>0</v>
      </c>
      <c r="N12" s="577">
        <f t="shared" si="3"/>
        <v>0</v>
      </c>
    </row>
    <row r="13" spans="2:14">
      <c r="B13" s="725" t="s">
        <v>49</v>
      </c>
      <c r="C13" s="726"/>
      <c r="D13" s="726"/>
      <c r="E13" s="550">
        <f>-$D$40*Assumptions!$D$10</f>
        <v>-825000</v>
      </c>
      <c r="F13" s="550">
        <f>-$D$40*Assumptions!$D$10</f>
        <v>-825000</v>
      </c>
      <c r="G13" s="550">
        <f>-$D$40*Assumptions!$D$10</f>
        <v>-825000</v>
      </c>
      <c r="H13" s="550">
        <f>-$D$40*Assumptions!$D$10</f>
        <v>-825000</v>
      </c>
      <c r="I13" s="550">
        <f>-$D$40*Assumptions!$D$10</f>
        <v>-825000</v>
      </c>
      <c r="J13" s="550">
        <f>-$D$40*Assumptions!$D$10</f>
        <v>-825000</v>
      </c>
      <c r="K13" s="550">
        <f>-$D$40*Assumptions!$D$10</f>
        <v>-825000</v>
      </c>
      <c r="L13" s="550">
        <f>-$D$40*Assumptions!$D$10</f>
        <v>-825000</v>
      </c>
      <c r="M13" s="550">
        <f>-$D$40*Assumptions!$D$10</f>
        <v>-825000</v>
      </c>
      <c r="N13" s="577">
        <f>-$D$40*Assumptions!$D$10</f>
        <v>-825000</v>
      </c>
    </row>
    <row r="14" spans="2:14">
      <c r="B14" s="725" t="s">
        <v>498</v>
      </c>
      <c r="C14" s="726"/>
      <c r="D14" s="726"/>
      <c r="E14" s="550">
        <f>-E6*Assumptions!$D$48</f>
        <v>0</v>
      </c>
      <c r="F14" s="550">
        <f>-F6*Assumptions!$D$48</f>
        <v>0</v>
      </c>
      <c r="G14" s="550">
        <f>-G6*Assumptions!$D$48</f>
        <v>0</v>
      </c>
      <c r="H14" s="550">
        <f>-H6*Assumptions!$D$48</f>
        <v>-277091.53200000001</v>
      </c>
      <c r="I14" s="550">
        <f>-I6*Assumptions!$D$48</f>
        <v>-277091.53200000001</v>
      </c>
      <c r="J14" s="550">
        <f>-J6*Assumptions!$D$48</f>
        <v>-277091.53200000001</v>
      </c>
      <c r="K14" s="550">
        <f>-K6*Assumptions!$D$48</f>
        <v>0</v>
      </c>
      <c r="L14" s="550">
        <f>-L6*Assumptions!$D$48</f>
        <v>0</v>
      </c>
      <c r="M14" s="550">
        <f>-M6*Assumptions!$D$48</f>
        <v>0</v>
      </c>
      <c r="N14" s="577">
        <f>-N6*Assumptions!$D$48</f>
        <v>0</v>
      </c>
    </row>
    <row r="15" spans="2:14">
      <c r="B15" s="742" t="s">
        <v>51</v>
      </c>
      <c r="C15" s="743"/>
      <c r="D15" s="743"/>
      <c r="E15" s="550">
        <f>E10+E12+E14+E11+E13</f>
        <v>-1090497.96</v>
      </c>
      <c r="F15" s="550">
        <f t="shared" ref="F15:N15" si="4">F10+F12+F14+F11+F13</f>
        <v>-1090497.96</v>
      </c>
      <c r="G15" s="550">
        <f t="shared" si="4"/>
        <v>-1090497.96</v>
      </c>
      <c r="H15" s="550">
        <f t="shared" si="4"/>
        <v>-1737044.8680000002</v>
      </c>
      <c r="I15" s="550">
        <f t="shared" si="4"/>
        <v>-1737044.8680000002</v>
      </c>
      <c r="J15" s="550">
        <f t="shared" si="4"/>
        <v>-1737044.8680000002</v>
      </c>
      <c r="K15" s="550">
        <f t="shared" si="4"/>
        <v>-1090497.96</v>
      </c>
      <c r="L15" s="550">
        <f t="shared" si="4"/>
        <v>-1090497.96</v>
      </c>
      <c r="M15" s="550">
        <f t="shared" si="4"/>
        <v>-1090497.96</v>
      </c>
      <c r="N15" s="577">
        <f t="shared" si="4"/>
        <v>-1090497.96</v>
      </c>
    </row>
    <row r="16" spans="2:14">
      <c r="B16" s="573"/>
      <c r="C16" s="22"/>
      <c r="D16" s="22"/>
      <c r="E16" s="552"/>
      <c r="F16" s="552"/>
      <c r="G16" s="552"/>
      <c r="H16" s="552"/>
      <c r="I16" s="552"/>
      <c r="J16" s="552"/>
      <c r="K16" s="552"/>
      <c r="L16" s="552"/>
      <c r="M16" s="552"/>
      <c r="N16" s="582"/>
    </row>
    <row r="17" spans="2:14">
      <c r="B17" s="736" t="s">
        <v>52</v>
      </c>
      <c r="C17" s="737"/>
      <c r="D17" s="737"/>
      <c r="E17" s="553">
        <f>E8+E15</f>
        <v>-1090497.96</v>
      </c>
      <c r="F17" s="553">
        <f t="shared" ref="F17:N17" si="5">F8+F15</f>
        <v>-1090497.96</v>
      </c>
      <c r="G17" s="553">
        <f t="shared" si="5"/>
        <v>-1090497.96</v>
      </c>
      <c r="H17" s="553">
        <f t="shared" si="5"/>
        <v>7499339.5319999997</v>
      </c>
      <c r="I17" s="553">
        <f t="shared" si="5"/>
        <v>7499339.5319999997</v>
      </c>
      <c r="J17" s="553">
        <f t="shared" si="5"/>
        <v>7499339.5319999997</v>
      </c>
      <c r="K17" s="553">
        <f t="shared" si="5"/>
        <v>-1090497.96</v>
      </c>
      <c r="L17" s="553">
        <f t="shared" si="5"/>
        <v>-1090497.96</v>
      </c>
      <c r="M17" s="553">
        <f t="shared" si="5"/>
        <v>-1090497.96</v>
      </c>
      <c r="N17" s="583">
        <f t="shared" si="5"/>
        <v>-1090497.96</v>
      </c>
    </row>
    <row r="18" spans="2:14">
      <c r="B18" s="744" t="s">
        <v>53</v>
      </c>
      <c r="C18" s="745"/>
      <c r="D18" s="745"/>
      <c r="E18" s="550">
        <f>-$F$36</f>
        <v>-1039500</v>
      </c>
      <c r="F18" s="550">
        <f t="shared" ref="F18:N18" si="6">-$F$36</f>
        <v>-1039500</v>
      </c>
      <c r="G18" s="550">
        <f t="shared" si="6"/>
        <v>-1039500</v>
      </c>
      <c r="H18" s="550">
        <f t="shared" si="6"/>
        <v>-1039500</v>
      </c>
      <c r="I18" s="550">
        <f t="shared" si="6"/>
        <v>-1039500</v>
      </c>
      <c r="J18" s="550">
        <f t="shared" si="6"/>
        <v>-1039500</v>
      </c>
      <c r="K18" s="550">
        <f t="shared" si="6"/>
        <v>-1039500</v>
      </c>
      <c r="L18" s="550">
        <f t="shared" si="6"/>
        <v>-1039500</v>
      </c>
      <c r="M18" s="550">
        <f t="shared" si="6"/>
        <v>-1039500</v>
      </c>
      <c r="N18" s="577">
        <f t="shared" si="6"/>
        <v>-1039500</v>
      </c>
    </row>
    <row r="19" spans="2:14">
      <c r="B19" s="746" t="s">
        <v>499</v>
      </c>
      <c r="C19" s="747"/>
      <c r="D19" s="747"/>
      <c r="E19" s="550">
        <f>-$D$40/Assumptions!$D$7</f>
        <v>-846153.84615384613</v>
      </c>
      <c r="F19" s="550">
        <f>-$D$40/Assumptions!$D$7</f>
        <v>-846153.84615384613</v>
      </c>
      <c r="G19" s="550">
        <f>-$D$40/Assumptions!$D$7</f>
        <v>-846153.84615384613</v>
      </c>
      <c r="H19" s="550">
        <f>-$D$40/Assumptions!$D$7</f>
        <v>-846153.84615384613</v>
      </c>
      <c r="I19" s="550">
        <f>-$D$40/Assumptions!$D$7</f>
        <v>-846153.84615384613</v>
      </c>
      <c r="J19" s="550">
        <f>-$D$40/Assumptions!$D$7</f>
        <v>-846153.84615384613</v>
      </c>
      <c r="K19" s="550">
        <f>-$D$40/Assumptions!$D$7</f>
        <v>-846153.84615384613</v>
      </c>
      <c r="L19" s="550">
        <f>-$D$40/Assumptions!$D$7</f>
        <v>-846153.84615384613</v>
      </c>
      <c r="M19" s="550">
        <f>-$D$40/Assumptions!$D$7</f>
        <v>-846153.84615384613</v>
      </c>
      <c r="N19" s="577">
        <f>-$D$40/Assumptions!$D$7</f>
        <v>-846153.84615384613</v>
      </c>
    </row>
    <row r="20" spans="2:14">
      <c r="B20" s="470" t="s">
        <v>500</v>
      </c>
      <c r="E20" s="550">
        <f>-C41/Assumptions!D8</f>
        <v>-3401500</v>
      </c>
      <c r="F20" s="550"/>
      <c r="G20" s="550"/>
      <c r="H20" s="550"/>
      <c r="I20" s="550"/>
      <c r="J20" s="550"/>
      <c r="K20" s="550"/>
      <c r="L20" s="550"/>
      <c r="M20" s="550"/>
      <c r="N20" s="577"/>
    </row>
    <row r="21" spans="2:14">
      <c r="B21" s="746" t="s">
        <v>56</v>
      </c>
      <c r="C21" s="747"/>
      <c r="D21" s="747"/>
      <c r="E21" s="550">
        <f>E17+E18+E19+E20</f>
        <v>-6377651.806153846</v>
      </c>
      <c r="F21" s="550">
        <f>F17+F18+F19+F20</f>
        <v>-2976151.806153846</v>
      </c>
      <c r="G21" s="550">
        <f>G17+G18+G19+G20</f>
        <v>-2976151.806153846</v>
      </c>
      <c r="H21" s="550">
        <f t="shared" ref="H21:N21" si="7">H17+H18+H19+H20</f>
        <v>5613685.6858461536</v>
      </c>
      <c r="I21" s="550">
        <f t="shared" si="7"/>
        <v>5613685.6858461536</v>
      </c>
      <c r="J21" s="550">
        <f t="shared" si="7"/>
        <v>5613685.6858461536</v>
      </c>
      <c r="K21" s="550">
        <f t="shared" si="7"/>
        <v>-2976151.806153846</v>
      </c>
      <c r="L21" s="550">
        <f t="shared" si="7"/>
        <v>-2976151.806153846</v>
      </c>
      <c r="M21" s="550">
        <f t="shared" si="7"/>
        <v>-2976151.806153846</v>
      </c>
      <c r="N21" s="577">
        <f t="shared" si="7"/>
        <v>-2976151.806153846</v>
      </c>
    </row>
    <row r="22" spans="2:14">
      <c r="B22" s="748" t="s">
        <v>501</v>
      </c>
      <c r="C22" s="747"/>
      <c r="D22" s="747"/>
      <c r="E22" s="550">
        <f>Infra!E6*Infra!$I$77</f>
        <v>2735200</v>
      </c>
      <c r="F22" s="550">
        <f>Infra!F6*Infra!$I$77</f>
        <v>2502337.5</v>
      </c>
      <c r="G22" s="550">
        <f>Infra!G6*Infra!$I$77</f>
        <v>1910612.5</v>
      </c>
      <c r="H22" s="550">
        <f>Infra!H6*Infra!$I$77</f>
        <v>0</v>
      </c>
      <c r="I22" s="550">
        <f>Infra!I6*Infra!$I$77</f>
        <v>789600</v>
      </c>
      <c r="J22" s="550">
        <f>Infra!J6*Infra!$I$77</f>
        <v>3249737.5</v>
      </c>
      <c r="K22" s="550">
        <f>Infra!K6*Infra!$I$77</f>
        <v>2037825</v>
      </c>
      <c r="L22" s="550">
        <f>Infra!L6*Infra!$I$77</f>
        <v>0</v>
      </c>
      <c r="M22" s="550">
        <f>Infra!M6*Infra!$I$77</f>
        <v>0</v>
      </c>
      <c r="N22" s="577">
        <f>Infra!N6*Infra!$I$77</f>
        <v>1200000</v>
      </c>
    </row>
    <row r="23" spans="2:14">
      <c r="B23" s="746" t="s">
        <v>288</v>
      </c>
      <c r="C23" s="747"/>
      <c r="D23" s="747"/>
      <c r="E23" s="550">
        <f>E21*Assumptions!$D$24</f>
        <v>-653709.31013076915</v>
      </c>
      <c r="F23" s="550">
        <f>F21*Assumptions!$D$24</f>
        <v>-305055.56013076921</v>
      </c>
      <c r="G23" s="550">
        <f>G21*Assumptions!$D$24</f>
        <v>-305055.56013076921</v>
      </c>
      <c r="H23" s="550">
        <f>H21*Assumptions!$D$24</f>
        <v>575402.78279923077</v>
      </c>
      <c r="I23" s="550">
        <f>I21*Assumptions!$D$24</f>
        <v>575402.78279923077</v>
      </c>
      <c r="J23" s="550">
        <f>J21*Assumptions!$D$24</f>
        <v>575402.78279923077</v>
      </c>
      <c r="K23" s="550">
        <f>K21*Assumptions!$D$24</f>
        <v>-305055.56013076921</v>
      </c>
      <c r="L23" s="550">
        <f>L21*Assumptions!$D$24</f>
        <v>-305055.56013076921</v>
      </c>
      <c r="M23" s="550">
        <f>M21*Assumptions!$D$24</f>
        <v>-305055.56013076921</v>
      </c>
      <c r="N23" s="577">
        <f>N21*Assumptions!$D$24</f>
        <v>-305055.56013076921</v>
      </c>
    </row>
    <row r="24" spans="2:14">
      <c r="B24" s="746" t="s">
        <v>59</v>
      </c>
      <c r="C24" s="747"/>
      <c r="D24" s="747"/>
      <c r="E24" s="550">
        <f>E17-E23</f>
        <v>-436788.64986923081</v>
      </c>
      <c r="F24" s="550">
        <f t="shared" ref="F24:N24" si="8">F17-F23</f>
        <v>-785442.39986923081</v>
      </c>
      <c r="G24" s="550">
        <f t="shared" si="8"/>
        <v>-785442.39986923081</v>
      </c>
      <c r="H24" s="550">
        <f t="shared" si="8"/>
        <v>6923936.7492007688</v>
      </c>
      <c r="I24" s="550">
        <f t="shared" si="8"/>
        <v>6923936.7492007688</v>
      </c>
      <c r="J24" s="550">
        <f t="shared" si="8"/>
        <v>6923936.7492007688</v>
      </c>
      <c r="K24" s="550">
        <f t="shared" si="8"/>
        <v>-785442.39986923081</v>
      </c>
      <c r="L24" s="550">
        <f t="shared" si="8"/>
        <v>-785442.39986923081</v>
      </c>
      <c r="M24" s="550">
        <f t="shared" si="8"/>
        <v>-785442.39986923081</v>
      </c>
      <c r="N24" s="577">
        <f t="shared" si="8"/>
        <v>-785442.39986923081</v>
      </c>
    </row>
    <row r="25" spans="2:14">
      <c r="B25" s="746" t="s">
        <v>502</v>
      </c>
      <c r="C25" s="747"/>
      <c r="D25" s="747"/>
      <c r="E25" s="550">
        <f>$F$36</f>
        <v>1039500</v>
      </c>
      <c r="F25" s="550">
        <f t="shared" ref="F25:N25" si="9">$F$36</f>
        <v>1039500</v>
      </c>
      <c r="G25" s="550">
        <f t="shared" si="9"/>
        <v>1039500</v>
      </c>
      <c r="H25" s="550">
        <f t="shared" si="9"/>
        <v>1039500</v>
      </c>
      <c r="I25" s="550">
        <f t="shared" si="9"/>
        <v>1039500</v>
      </c>
      <c r="J25" s="550">
        <f t="shared" si="9"/>
        <v>1039500</v>
      </c>
      <c r="K25" s="550">
        <f t="shared" si="9"/>
        <v>1039500</v>
      </c>
      <c r="L25" s="550">
        <f t="shared" si="9"/>
        <v>1039500</v>
      </c>
      <c r="M25" s="550">
        <f t="shared" si="9"/>
        <v>1039500</v>
      </c>
      <c r="N25" s="577">
        <f t="shared" si="9"/>
        <v>1039500</v>
      </c>
    </row>
    <row r="26" spans="2:14">
      <c r="B26" s="569" t="s">
        <v>503</v>
      </c>
      <c r="E26" s="550">
        <f>Cost!K29</f>
        <v>521000000</v>
      </c>
      <c r="F26" s="550">
        <f>E26+E17</f>
        <v>519909502.04000002</v>
      </c>
      <c r="G26" s="550">
        <f>F26+F17</f>
        <v>518819004.08000004</v>
      </c>
      <c r="H26" s="550">
        <f>G26+G17</f>
        <v>517728506.12000006</v>
      </c>
      <c r="I26" s="550">
        <f t="shared" ref="G26:N26" si="10">H26+H17</f>
        <v>525227845.65200007</v>
      </c>
      <c r="J26" s="550">
        <f t="shared" si="10"/>
        <v>532727185.18400007</v>
      </c>
      <c r="K26" s="550">
        <f t="shared" si="10"/>
        <v>540226524.71600008</v>
      </c>
      <c r="L26" s="550">
        <f t="shared" si="10"/>
        <v>539136026.75600004</v>
      </c>
      <c r="M26" s="550">
        <f t="shared" si="10"/>
        <v>538045528.796</v>
      </c>
      <c r="N26" s="577">
        <f t="shared" si="10"/>
        <v>536955030.83599997</v>
      </c>
    </row>
    <row r="27" spans="2:14">
      <c r="B27" s="749" t="s">
        <v>62</v>
      </c>
      <c r="C27" s="750"/>
      <c r="D27" s="750"/>
      <c r="E27" s="584">
        <f>E24/E25</f>
        <v>-0.42019110136530141</v>
      </c>
      <c r="F27" s="584">
        <f t="shared" ref="F27:N27" si="11">F24/F25</f>
        <v>-0.75559634427054434</v>
      </c>
      <c r="G27" s="584">
        <f t="shared" si="11"/>
        <v>-0.75559634427054434</v>
      </c>
      <c r="H27" s="584">
        <f t="shared" si="11"/>
        <v>6.6608338135649534</v>
      </c>
      <c r="I27" s="584">
        <f t="shared" si="11"/>
        <v>6.6608338135649534</v>
      </c>
      <c r="J27" s="584">
        <f t="shared" si="11"/>
        <v>6.6608338135649534</v>
      </c>
      <c r="K27" s="584">
        <f t="shared" si="11"/>
        <v>-0.75559634427054434</v>
      </c>
      <c r="L27" s="584">
        <f t="shared" si="11"/>
        <v>-0.75559634427054434</v>
      </c>
      <c r="M27" s="584">
        <f t="shared" si="11"/>
        <v>-0.75559634427054434</v>
      </c>
      <c r="N27" s="585">
        <f t="shared" si="11"/>
        <v>-0.75559634427054434</v>
      </c>
    </row>
    <row r="28" spans="2:14">
      <c r="B28" s="469" t="s">
        <v>504</v>
      </c>
      <c r="E28" s="550">
        <f>SUM(-E22,E17,E26)</f>
        <v>517174302.04000002</v>
      </c>
      <c r="F28" s="550">
        <f t="shared" ref="F28:N28" si="12">SUM(-F22,F17,F26)</f>
        <v>516316666.58000004</v>
      </c>
      <c r="G28" s="550">
        <f t="shared" si="12"/>
        <v>515817893.62000006</v>
      </c>
      <c r="H28" s="550">
        <f t="shared" si="12"/>
        <v>525227845.65200007</v>
      </c>
      <c r="I28" s="550">
        <f t="shared" si="12"/>
        <v>531937585.18400007</v>
      </c>
      <c r="J28" s="550">
        <f t="shared" si="12"/>
        <v>536976787.21600008</v>
      </c>
      <c r="K28" s="550">
        <f t="shared" si="12"/>
        <v>537098201.75600004</v>
      </c>
      <c r="L28" s="550">
        <f t="shared" si="12"/>
        <v>538045528.796</v>
      </c>
      <c r="M28" s="550">
        <f t="shared" si="12"/>
        <v>536955030.83599997</v>
      </c>
      <c r="N28" s="577">
        <f t="shared" si="12"/>
        <v>534664532.87599999</v>
      </c>
    </row>
    <row r="29" spans="2:14" ht="14.1" thickBot="1">
      <c r="B29" s="740" t="s">
        <v>63</v>
      </c>
      <c r="C29" s="741"/>
      <c r="D29" s="741"/>
      <c r="E29" s="586">
        <f>((E27-1))*E25</f>
        <v>-1476288.6498692308</v>
      </c>
      <c r="F29" s="586">
        <f t="shared" ref="F29:N29" si="13">((F27-1))*F25</f>
        <v>-1824942.3998692308</v>
      </c>
      <c r="G29" s="586">
        <f t="shared" si="13"/>
        <v>-1824942.3998692308</v>
      </c>
      <c r="H29" s="586">
        <f t="shared" si="13"/>
        <v>5884436.7492007688</v>
      </c>
      <c r="I29" s="586">
        <f t="shared" si="13"/>
        <v>5884436.7492007688</v>
      </c>
      <c r="J29" s="586">
        <f t="shared" si="13"/>
        <v>5884436.7492007688</v>
      </c>
      <c r="K29" s="586">
        <f t="shared" si="13"/>
        <v>-1824942.3998692308</v>
      </c>
      <c r="L29" s="586">
        <f t="shared" si="13"/>
        <v>-1824942.3998692308</v>
      </c>
      <c r="M29" s="586">
        <f t="shared" si="13"/>
        <v>-1824942.3998692308</v>
      </c>
      <c r="N29" s="587">
        <f t="shared" si="13"/>
        <v>-1824942.3998692308</v>
      </c>
    </row>
    <row r="30" spans="2:14">
      <c r="B30" s="70"/>
      <c r="C30" s="70"/>
      <c r="D30" s="70"/>
      <c r="E30" s="8">
        <v>0</v>
      </c>
      <c r="F30" s="8">
        <v>0</v>
      </c>
      <c r="G30" s="8">
        <v>0</v>
      </c>
      <c r="H30" s="8">
        <v>0</v>
      </c>
      <c r="I30" s="8">
        <f>(I4-H4)/H4</f>
        <v>0</v>
      </c>
      <c r="J30" s="8">
        <f>(J4-I4)/I4</f>
        <v>0</v>
      </c>
      <c r="K30" s="8">
        <f>(K4-J4)/J4</f>
        <v>-1</v>
      </c>
      <c r="L30" s="8">
        <v>0</v>
      </c>
      <c r="M30" s="8">
        <v>0</v>
      </c>
      <c r="N30" s="8">
        <v>0</v>
      </c>
    </row>
    <row r="32" spans="2:14">
      <c r="B32" t="s">
        <v>505</v>
      </c>
      <c r="C32" s="14">
        <f>Assumptions!B19</f>
        <v>5.8299999999999998E-2</v>
      </c>
    </row>
    <row r="33" spans="2:12">
      <c r="B33" t="s">
        <v>506</v>
      </c>
      <c r="C33" s="7">
        <f>N17/C32</f>
        <v>-18704939.279588338</v>
      </c>
      <c r="D33" s="7"/>
      <c r="E33" t="s">
        <v>489</v>
      </c>
      <c r="F33" s="10">
        <f>D40*Assumptions!D16</f>
        <v>23100000</v>
      </c>
      <c r="H33">
        <f>E15/F33</f>
        <v>-4.7207703896103896E-2</v>
      </c>
      <c r="I33" s="18"/>
      <c r="J33" s="6"/>
      <c r="K33" s="6"/>
      <c r="L33" s="6"/>
    </row>
    <row r="34" spans="2:12">
      <c r="C34" s="7"/>
      <c r="E34" s="70" t="s">
        <v>507</v>
      </c>
      <c r="F34" s="10">
        <f>(F33*Assumptions!D17)/12</f>
        <v>86625</v>
      </c>
      <c r="J34" s="6"/>
      <c r="K34" s="6"/>
      <c r="L34" s="6"/>
    </row>
    <row r="35" spans="2:12">
      <c r="B35" t="s">
        <v>508</v>
      </c>
      <c r="C35" s="7">
        <v>350000</v>
      </c>
      <c r="E35" s="70" t="s">
        <v>509</v>
      </c>
      <c r="F35" s="10">
        <f>F34*12</f>
        <v>1039500</v>
      </c>
      <c r="J35" s="6"/>
      <c r="K35" s="6"/>
      <c r="L35" s="6"/>
    </row>
    <row r="36" spans="2:12">
      <c r="B36" t="s">
        <v>510</v>
      </c>
      <c r="C36" s="7">
        <f>C35*Assumptions!B10</f>
        <v>238104999.99999997</v>
      </c>
      <c r="E36" t="s">
        <v>511</v>
      </c>
      <c r="F36" s="10">
        <f>F35</f>
        <v>1039500</v>
      </c>
      <c r="J36" s="6"/>
      <c r="K36" s="6"/>
      <c r="L36" s="6"/>
    </row>
    <row r="37" spans="2:12">
      <c r="B37" s="70" t="s">
        <v>512</v>
      </c>
      <c r="C37" s="144">
        <v>0.03</v>
      </c>
      <c r="F37" s="6"/>
      <c r="J37" s="6"/>
      <c r="K37" s="6"/>
      <c r="L37" s="6"/>
    </row>
    <row r="38" spans="2:12">
      <c r="B38" t="s">
        <v>513</v>
      </c>
      <c r="C38" s="7">
        <f>(C33+C36)/2</f>
        <v>109700030.36020581</v>
      </c>
      <c r="E38" s="70"/>
      <c r="J38" s="6"/>
      <c r="K38" s="6"/>
      <c r="L38" s="6"/>
    </row>
    <row r="39" spans="2:12">
      <c r="C39" s="7"/>
      <c r="J39" s="6"/>
      <c r="K39" s="6"/>
      <c r="L39" s="6"/>
    </row>
    <row r="40" spans="2:12">
      <c r="B40" t="s">
        <v>514</v>
      </c>
      <c r="C40" s="8">
        <f>Assumptions!D11*Assumptions!D36</f>
        <v>144543750</v>
      </c>
      <c r="D40" s="65">
        <v>33000000</v>
      </c>
      <c r="J40" s="6"/>
      <c r="K40" s="6"/>
      <c r="L40" s="6"/>
    </row>
    <row r="41" spans="2:12">
      <c r="B41" t="s">
        <v>515</v>
      </c>
      <c r="C41" s="8">
        <f>Assumptions!B13*Assumptions!B10</f>
        <v>3401500</v>
      </c>
      <c r="I41" s="19"/>
      <c r="J41" s="6"/>
      <c r="K41" s="6"/>
      <c r="L41" s="6"/>
    </row>
    <row r="42" spans="2:12">
      <c r="B42" t="s">
        <v>516</v>
      </c>
      <c r="C42" s="8">
        <f>C40*0.8</f>
        <v>115635000</v>
      </c>
      <c r="I42" s="19"/>
      <c r="J42" s="6"/>
      <c r="K42" s="6"/>
      <c r="L42" s="6"/>
    </row>
    <row r="43" spans="2:12">
      <c r="B43" s="70" t="s">
        <v>517</v>
      </c>
      <c r="C43" s="8">
        <f>C42*Assumptions!D4</f>
        <v>16188900.000000002</v>
      </c>
    </row>
    <row r="44" spans="2:12">
      <c r="B44" s="70" t="s">
        <v>518</v>
      </c>
      <c r="C44" s="2">
        <v>8.2000000000000007E-3</v>
      </c>
    </row>
    <row r="46" spans="2:12">
      <c r="B46" t="s">
        <v>519</v>
      </c>
      <c r="C46" s="15">
        <f>C43*C44</f>
        <v>132748.98000000004</v>
      </c>
    </row>
    <row r="47" spans="2:12">
      <c r="B47" t="s">
        <v>520</v>
      </c>
      <c r="C47" s="15">
        <f>C46</f>
        <v>132748.98000000004</v>
      </c>
    </row>
    <row r="48" spans="2:12">
      <c r="B48" t="s">
        <v>521</v>
      </c>
      <c r="C48" s="15">
        <f>C46+C47</f>
        <v>265497.96000000008</v>
      </c>
    </row>
  </sheetData>
  <mergeCells count="24">
    <mergeCell ref="B3:D3"/>
    <mergeCell ref="B4:D4"/>
    <mergeCell ref="B12:D12"/>
    <mergeCell ref="B11:D11"/>
    <mergeCell ref="B10:D10"/>
    <mergeCell ref="B9:D9"/>
    <mergeCell ref="B7:D7"/>
    <mergeCell ref="B8:D8"/>
    <mergeCell ref="B2:N2"/>
    <mergeCell ref="B27:D27"/>
    <mergeCell ref="B29:D29"/>
    <mergeCell ref="B19:D19"/>
    <mergeCell ref="B21:D21"/>
    <mergeCell ref="B22:D22"/>
    <mergeCell ref="B23:D23"/>
    <mergeCell ref="B24:D24"/>
    <mergeCell ref="B25:D25"/>
    <mergeCell ref="B18:D18"/>
    <mergeCell ref="B15:D15"/>
    <mergeCell ref="B17:D17"/>
    <mergeCell ref="B14:D14"/>
    <mergeCell ref="B13:D13"/>
    <mergeCell ref="B5:D5"/>
    <mergeCell ref="B6:D6"/>
  </mergeCells>
  <pageMargins left="0.7" right="0.7" top="0.75" bottom="0.75" header="0.3" footer="0.3"/>
  <pageSetup orientation="portrait" horizontalDpi="90" verticalDpi="9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902E8-AD77-4C27-BFB1-816F04D5E7B0}">
  <sheetPr>
    <tabColor theme="6" tint="0.79998168889431442"/>
  </sheetPr>
  <dimension ref="B1:N46"/>
  <sheetViews>
    <sheetView zoomScale="84" workbookViewId="0">
      <selection activeCell="E30" sqref="E30"/>
    </sheetView>
  </sheetViews>
  <sheetFormatPr defaultColWidth="9" defaultRowHeight="12.95"/>
  <cols>
    <col min="1" max="1" width="9.33203125"/>
    <col min="2" max="2" width="32.33203125" bestFit="1" customWidth="1"/>
    <col min="3" max="3" width="20" customWidth="1"/>
    <col min="4" max="4" width="14" bestFit="1" customWidth="1"/>
    <col min="5" max="5" width="16.6640625" bestFit="1" customWidth="1"/>
    <col min="6" max="6" width="16.83203125" bestFit="1" customWidth="1"/>
    <col min="7" max="7" width="17.33203125" customWidth="1"/>
    <col min="8" max="8" width="17.83203125" customWidth="1"/>
    <col min="9" max="9" width="16.83203125" customWidth="1"/>
    <col min="10" max="10" width="18.6640625" customWidth="1"/>
    <col min="11" max="11" width="16.6640625" customWidth="1"/>
    <col min="12" max="12" width="18.6640625" customWidth="1"/>
    <col min="13" max="13" width="18.83203125" customWidth="1"/>
    <col min="14" max="14" width="20.6640625" customWidth="1"/>
  </cols>
  <sheetData>
    <row r="1" spans="2:14" ht="14.1" thickBot="1"/>
    <row r="2" spans="2:14" ht="18">
      <c r="B2" s="727" t="s">
        <v>522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9"/>
    </row>
    <row r="3" spans="2:14" ht="18">
      <c r="B3" s="730" t="s">
        <v>39</v>
      </c>
      <c r="C3" s="731"/>
      <c r="D3" s="731"/>
      <c r="E3" s="54">
        <v>2024</v>
      </c>
      <c r="F3" s="54">
        <v>2025</v>
      </c>
      <c r="G3" s="54">
        <v>2026</v>
      </c>
      <c r="H3" s="54">
        <v>2027</v>
      </c>
      <c r="I3" s="425">
        <v>2028</v>
      </c>
      <c r="J3" s="54">
        <v>2029</v>
      </c>
      <c r="K3" s="425">
        <v>2030</v>
      </c>
      <c r="L3" s="54">
        <v>2031</v>
      </c>
      <c r="M3" s="54">
        <v>2032</v>
      </c>
      <c r="N3" s="556">
        <v>2033</v>
      </c>
    </row>
    <row r="4" spans="2:14" ht="12.95" customHeight="1">
      <c r="B4" s="732" t="s">
        <v>40</v>
      </c>
      <c r="C4" s="733"/>
      <c r="D4" s="733"/>
      <c r="E4" s="550">
        <f>((Infra!E8*Assumptions!$B$37))*(1-Assumptions!$B$43+0.5)</f>
        <v>1769846</v>
      </c>
      <c r="F4" s="550">
        <f>((Infra!F8+Infra!E8)*Assumptions!$B$37)*(1-Assumptions!$B$43+0.5)</f>
        <v>3965520</v>
      </c>
      <c r="G4" s="550">
        <f>((Infra!G8+Infra!F8+Infra!E8)*Assumptions!$B$37)*(1-Assumptions!$B$43+0.5)</f>
        <v>6588894</v>
      </c>
      <c r="H4" s="550">
        <f>((Infra!H8+Infra!G8+Infra!F8+Infra!E8)*Assumptions!$B$37)*(1-Assumptions!$B$43+0.5)</f>
        <v>6588894</v>
      </c>
      <c r="I4" s="550">
        <f>((Infra!I8+Infra!H8+Infra!G8+Infra!F8+Infra!E8)*Assumptions!$B$37)*(1-Assumptions!$B$43+0.5)</f>
        <v>6588894</v>
      </c>
      <c r="J4" s="550">
        <f>((Infra!J8+Infra!I8+Infra!H8+Infra!G8+Infra!F8+Infra!E8)*Assumptions!$B$37)*(1-Assumptions!$B$43+0.5)</f>
        <v>6588894</v>
      </c>
      <c r="K4" s="550">
        <f>((Infra!K8+Infra!J8+Infra!I8+Infra!H8+Infra!G8+Infra!F8+Infra!E8)*Assumptions!$B$37)*(1-Assumptions!$B$43+0.5)</f>
        <v>6588894</v>
      </c>
      <c r="L4" s="550">
        <f>((Infra!L8+Infra!K8+Infra!J8+Infra!I8+Infra!H8+Infra!G8+Infra!F8+Infra!E8)*Assumptions!$B$37)*(1-Assumptions!$B$43+0.5)</f>
        <v>6588894</v>
      </c>
      <c r="M4" s="550">
        <f>((Infra!M8+Infra!L8+Infra!K8+Infra!J8+Infra!I8+Infra!H8+Infra!G8+Infra!F8+Infra!E8)*Assumptions!$B$37)*(1-Assumptions!$B$43+0.5)</f>
        <v>6588894</v>
      </c>
      <c r="N4" s="577">
        <f>((Infra!N8+Infra!M8+Infra!L8+Infra!K8+Infra!J8+Infra!I8+Infra!H8+Infra!G8+Infra!F8+Infra!E8)*Assumptions!$B$37)*(1-Assumptions!$B$43+0.5)</f>
        <v>11890736</v>
      </c>
    </row>
    <row r="5" spans="2:14">
      <c r="B5" s="725" t="s">
        <v>41</v>
      </c>
      <c r="C5" s="726"/>
      <c r="D5" s="726"/>
      <c r="E5" s="10">
        <f>-E4*Assumptions!$B$41</f>
        <v>-294325.3898</v>
      </c>
      <c r="F5" s="10">
        <f>-F4*Assumptions!$B$41</f>
        <v>-659465.97600000002</v>
      </c>
      <c r="G5" s="10">
        <f>-G4*Assumptions!$B$41</f>
        <v>-1095733.0722000001</v>
      </c>
      <c r="H5" s="10">
        <f>-H4*Assumptions!$B$41</f>
        <v>-1095733.0722000001</v>
      </c>
      <c r="I5" s="10">
        <f>-I4*Assumptions!$B$41</f>
        <v>-1095733.0722000001</v>
      </c>
      <c r="J5" s="10">
        <f>-J4*Assumptions!$B$41</f>
        <v>-1095733.0722000001</v>
      </c>
      <c r="K5" s="10">
        <f>-K4*Assumptions!$B$41</f>
        <v>-1095733.0722000001</v>
      </c>
      <c r="L5" s="10">
        <f>-L4*Assumptions!$B$41</f>
        <v>-1095733.0722000001</v>
      </c>
      <c r="M5" s="10">
        <f>-M4*Assumptions!$B$41</f>
        <v>-1095733.0722000001</v>
      </c>
      <c r="N5" s="564">
        <f>-N4*Assumptions!$B$41</f>
        <v>-1977429.3968</v>
      </c>
    </row>
    <row r="6" spans="2:14">
      <c r="B6" s="734" t="s">
        <v>42</v>
      </c>
      <c r="C6" s="735"/>
      <c r="D6" s="735"/>
      <c r="E6" s="10">
        <f>E4+E5</f>
        <v>1475520.6102</v>
      </c>
      <c r="F6" s="10">
        <f t="shared" ref="F6" si="0">F4+F5</f>
        <v>3306054.0240000002</v>
      </c>
      <c r="G6" s="10">
        <f t="shared" ref="G6" si="1">G4+G5</f>
        <v>5493160.9277999997</v>
      </c>
      <c r="H6" s="10">
        <f t="shared" ref="H6" si="2">H4+H5</f>
        <v>5493160.9277999997</v>
      </c>
      <c r="I6" s="10">
        <f t="shared" ref="I6" si="3">I4+I5</f>
        <v>5493160.9277999997</v>
      </c>
      <c r="J6" s="10">
        <f t="shared" ref="J6" si="4">J4+J5</f>
        <v>5493160.9277999997</v>
      </c>
      <c r="K6" s="10">
        <f t="shared" ref="K6" si="5">K4+K5</f>
        <v>5493160.9277999997</v>
      </c>
      <c r="L6" s="10">
        <f t="shared" ref="L6" si="6">L4+L5</f>
        <v>5493160.9277999997</v>
      </c>
      <c r="M6" s="10">
        <f t="shared" ref="M6" si="7">M4+M5</f>
        <v>5493160.9277999997</v>
      </c>
      <c r="N6" s="564">
        <f t="shared" ref="N6" si="8">N4+N5</f>
        <v>9913306.6031999998</v>
      </c>
    </row>
    <row r="7" spans="2:14">
      <c r="B7" s="736" t="s">
        <v>43</v>
      </c>
      <c r="C7" s="737"/>
      <c r="D7" s="737"/>
      <c r="E7" s="550">
        <f>Assumptions!$D$9*Assumptions!$B$36</f>
        <v>12622500</v>
      </c>
      <c r="F7" s="550">
        <f>Assumptions!$D$9*Assumptions!$B$36</f>
        <v>12622500</v>
      </c>
      <c r="G7" s="550">
        <f>Assumptions!$D$9*Assumptions!$B$36</f>
        <v>12622500</v>
      </c>
      <c r="H7" s="550">
        <f>Assumptions!$D$9*Assumptions!$B$36</f>
        <v>12622500</v>
      </c>
      <c r="I7" s="550">
        <f>Assumptions!$D$9*Assumptions!$B$36</f>
        <v>12622500</v>
      </c>
      <c r="J7" s="550">
        <f>Assumptions!$D$9*Assumptions!$B$36</f>
        <v>12622500</v>
      </c>
      <c r="K7" s="550">
        <f>Assumptions!$D$9*Assumptions!$B$36</f>
        <v>12622500</v>
      </c>
      <c r="L7" s="550">
        <f>Assumptions!$D$9*Assumptions!$B$36</f>
        <v>12622500</v>
      </c>
      <c r="M7" s="550">
        <f>Assumptions!$D$9*Assumptions!$B$36</f>
        <v>12622500</v>
      </c>
      <c r="N7" s="577">
        <f>Assumptions!$D$9*Assumptions!$B$36</f>
        <v>12622500</v>
      </c>
    </row>
    <row r="8" spans="2:14">
      <c r="B8" s="736" t="s">
        <v>44</v>
      </c>
      <c r="C8" s="737"/>
      <c r="D8" s="737"/>
      <c r="E8" s="551">
        <f>E6+E7</f>
        <v>14098020.610199999</v>
      </c>
      <c r="F8" s="551">
        <f t="shared" ref="F8:N8" si="9">F6+F7</f>
        <v>15928554.024</v>
      </c>
      <c r="G8" s="551">
        <f t="shared" si="9"/>
        <v>18115660.9278</v>
      </c>
      <c r="H8" s="551">
        <f t="shared" si="9"/>
        <v>18115660.9278</v>
      </c>
      <c r="I8" s="551">
        <f t="shared" si="9"/>
        <v>18115660.9278</v>
      </c>
      <c r="J8" s="551">
        <f t="shared" si="9"/>
        <v>18115660.9278</v>
      </c>
      <c r="K8" s="551">
        <f t="shared" si="9"/>
        <v>18115660.9278</v>
      </c>
      <c r="L8" s="551">
        <f t="shared" si="9"/>
        <v>18115660.9278</v>
      </c>
      <c r="M8" s="551">
        <f t="shared" si="9"/>
        <v>18115660.9278</v>
      </c>
      <c r="N8" s="579">
        <f t="shared" si="9"/>
        <v>22535806.6032</v>
      </c>
    </row>
    <row r="9" spans="2:14">
      <c r="B9" s="738" t="s">
        <v>45</v>
      </c>
      <c r="C9" s="739"/>
      <c r="D9" s="739"/>
      <c r="E9" s="1"/>
      <c r="F9" s="3"/>
      <c r="G9" s="4"/>
      <c r="H9" s="5"/>
      <c r="I9" s="5"/>
      <c r="J9" s="4"/>
      <c r="K9" s="5"/>
      <c r="L9" s="5"/>
      <c r="M9" s="5"/>
      <c r="N9" s="558"/>
    </row>
    <row r="10" spans="2:14">
      <c r="B10" s="725" t="s">
        <v>46</v>
      </c>
      <c r="C10" s="726"/>
      <c r="D10" s="726"/>
      <c r="E10" s="16">
        <v>0</v>
      </c>
      <c r="F10" s="16">
        <f>-Assumptions!$D$9*Assumptions!$B$36</f>
        <v>-12622500</v>
      </c>
      <c r="G10" s="16">
        <f>-Assumptions!$D$9*Assumptions!$B$36</f>
        <v>-12622500</v>
      </c>
      <c r="H10" s="16">
        <f>-Assumptions!$D$9*Assumptions!$B$36</f>
        <v>-12622500</v>
      </c>
      <c r="I10" s="16">
        <f>-Assumptions!$D$9*Assumptions!$B$36</f>
        <v>-12622500</v>
      </c>
      <c r="J10" s="16">
        <f>-Assumptions!$D$9*Assumptions!$B$36</f>
        <v>-12622500</v>
      </c>
      <c r="K10" s="16">
        <f>-Assumptions!$D$9*Assumptions!$B$36</f>
        <v>-12622500</v>
      </c>
      <c r="L10" s="16">
        <f>-Assumptions!$D$9*Assumptions!$B$36</f>
        <v>-12622500</v>
      </c>
      <c r="M10" s="16">
        <f>-Assumptions!$D$9*Assumptions!$B$36</f>
        <v>-12622500</v>
      </c>
      <c r="N10" s="557">
        <f>-Assumptions!$D$9*Assumptions!$B$36</f>
        <v>-12622500</v>
      </c>
    </row>
    <row r="11" spans="2:14">
      <c r="B11" s="725" t="s">
        <v>47</v>
      </c>
      <c r="C11" s="726"/>
      <c r="D11" s="726"/>
      <c r="E11" s="16">
        <f>-$C$41</f>
        <v>-685011.60000000021</v>
      </c>
      <c r="F11" s="16">
        <f t="shared" ref="F11:N11" si="10">-$C$41</f>
        <v>-685011.60000000021</v>
      </c>
      <c r="G11" s="16">
        <f t="shared" si="10"/>
        <v>-685011.60000000021</v>
      </c>
      <c r="H11" s="16">
        <f t="shared" si="10"/>
        <v>-685011.60000000021</v>
      </c>
      <c r="I11" s="16">
        <f t="shared" si="10"/>
        <v>-685011.60000000021</v>
      </c>
      <c r="J11" s="16">
        <f t="shared" si="10"/>
        <v>-685011.60000000021</v>
      </c>
      <c r="K11" s="16">
        <f t="shared" si="10"/>
        <v>-685011.60000000021</v>
      </c>
      <c r="L11" s="16">
        <f t="shared" si="10"/>
        <v>-685011.60000000021</v>
      </c>
      <c r="M11" s="16">
        <f t="shared" si="10"/>
        <v>-685011.60000000021</v>
      </c>
      <c r="N11" s="557">
        <f t="shared" si="10"/>
        <v>-685011.60000000021</v>
      </c>
    </row>
    <row r="12" spans="2:14">
      <c r="B12" s="725" t="s">
        <v>48</v>
      </c>
      <c r="C12" s="726"/>
      <c r="D12" s="726"/>
      <c r="E12" s="10">
        <f>-E6*Assumptions!$D$6</f>
        <v>-59020.824408</v>
      </c>
      <c r="F12" s="10">
        <f>-F6*Assumptions!$D$6</f>
        <v>-132242.16096000001</v>
      </c>
      <c r="G12" s="10">
        <f>-G6*Assumptions!$D$6</f>
        <v>-219726.43711199999</v>
      </c>
      <c r="H12" s="10">
        <f>-H6*Assumptions!$D$6</f>
        <v>-219726.43711199999</v>
      </c>
      <c r="I12" s="10">
        <f>-I6*Assumptions!$D$6</f>
        <v>-219726.43711199999</v>
      </c>
      <c r="J12" s="10">
        <f>-J6*Assumptions!$D$6</f>
        <v>-219726.43711199999</v>
      </c>
      <c r="K12" s="10">
        <f>-K6*Assumptions!$D$6</f>
        <v>-219726.43711199999</v>
      </c>
      <c r="L12" s="10">
        <f>-L6*Assumptions!$D$6</f>
        <v>-219726.43711199999</v>
      </c>
      <c r="M12" s="10">
        <f>-M6*Assumptions!$D$6</f>
        <v>-219726.43711199999</v>
      </c>
      <c r="N12" s="564">
        <f>-N6*Assumptions!$D$6</f>
        <v>-396532.26412800001</v>
      </c>
    </row>
    <row r="13" spans="2:14">
      <c r="B13" s="725" t="s">
        <v>49</v>
      </c>
      <c r="C13" s="726"/>
      <c r="D13" s="726"/>
      <c r="E13" s="10">
        <f>-$D$34*Assumptions!$D$10</f>
        <v>-275000</v>
      </c>
      <c r="F13" s="10">
        <f>-$D$34*Assumptions!$D$10</f>
        <v>-275000</v>
      </c>
      <c r="G13" s="10">
        <f>-$D$34*Assumptions!$D$10</f>
        <v>-275000</v>
      </c>
      <c r="H13" s="10">
        <f>-$D$34*Assumptions!$D$10</f>
        <v>-275000</v>
      </c>
      <c r="I13" s="10">
        <f>-$D$34*Assumptions!$D$10</f>
        <v>-275000</v>
      </c>
      <c r="J13" s="10">
        <f>-$D$34*Assumptions!$D$10</f>
        <v>-275000</v>
      </c>
      <c r="K13" s="10">
        <f>-$D$34*Assumptions!$D$10</f>
        <v>-275000</v>
      </c>
      <c r="L13" s="10">
        <f>-$D$34*Assumptions!$D$10</f>
        <v>-275000</v>
      </c>
      <c r="M13" s="10">
        <f>-$D$34*Assumptions!$D$10</f>
        <v>-275000</v>
      </c>
      <c r="N13" s="564">
        <f>-$D$34*Assumptions!$D$10</f>
        <v>-275000</v>
      </c>
    </row>
    <row r="14" spans="2:14">
      <c r="B14" s="725" t="s">
        <v>498</v>
      </c>
      <c r="C14" s="726"/>
      <c r="D14" s="726"/>
      <c r="E14" s="10">
        <f>-E6*Assumptions!$B$45</f>
        <v>-44265.618305999997</v>
      </c>
      <c r="F14" s="10">
        <f>-F6*Assumptions!$B$45</f>
        <v>-99181.620720000006</v>
      </c>
      <c r="G14" s="10">
        <f>-G6*Assumptions!$B$45</f>
        <v>-164794.827834</v>
      </c>
      <c r="H14" s="10">
        <f>-H6*Assumptions!$B$45</f>
        <v>-164794.827834</v>
      </c>
      <c r="I14" s="10">
        <f>-I6*Assumptions!$B$45</f>
        <v>-164794.827834</v>
      </c>
      <c r="J14" s="10">
        <f>-J6*Assumptions!$B$45</f>
        <v>-164794.827834</v>
      </c>
      <c r="K14" s="10">
        <f>-K6*Assumptions!$B$45</f>
        <v>-164794.827834</v>
      </c>
      <c r="L14" s="10">
        <f>-L6*Assumptions!$B$45</f>
        <v>-164794.827834</v>
      </c>
      <c r="M14" s="10">
        <f>-M6*Assumptions!$B$45</f>
        <v>-164794.827834</v>
      </c>
      <c r="N14" s="564">
        <f>-N6*Assumptions!$B$45</f>
        <v>-297399.19809600001</v>
      </c>
    </row>
    <row r="15" spans="2:14">
      <c r="B15" s="742" t="s">
        <v>51</v>
      </c>
      <c r="C15" s="743"/>
      <c r="D15" s="743"/>
      <c r="E15" s="12">
        <f>E10+E12+E14+E11+E13</f>
        <v>-1063298.0427140002</v>
      </c>
      <c r="F15" s="12">
        <f t="shared" ref="F15:N15" si="11">F10+F12+F14+F11+F13</f>
        <v>-13813935.381679999</v>
      </c>
      <c r="G15" s="12">
        <f t="shared" si="11"/>
        <v>-13967032.864946</v>
      </c>
      <c r="H15" s="12">
        <f t="shared" si="11"/>
        <v>-13967032.864946</v>
      </c>
      <c r="I15" s="12">
        <f t="shared" si="11"/>
        <v>-13967032.864946</v>
      </c>
      <c r="J15" s="12">
        <f t="shared" si="11"/>
        <v>-13967032.864946</v>
      </c>
      <c r="K15" s="12">
        <f t="shared" si="11"/>
        <v>-13967032.864946</v>
      </c>
      <c r="L15" s="12">
        <f t="shared" si="11"/>
        <v>-13967032.864946</v>
      </c>
      <c r="M15" s="12">
        <f t="shared" si="11"/>
        <v>-13967032.864946</v>
      </c>
      <c r="N15" s="565">
        <f t="shared" si="11"/>
        <v>-14276443.062223999</v>
      </c>
    </row>
    <row r="16" spans="2:14">
      <c r="B16" s="652"/>
      <c r="C16" s="653"/>
      <c r="D16" s="653"/>
      <c r="E16" s="653"/>
      <c r="F16" s="653"/>
      <c r="G16" s="653"/>
      <c r="H16" s="653"/>
      <c r="I16" s="653"/>
      <c r="J16" s="653"/>
      <c r="K16" s="653"/>
      <c r="L16" s="653"/>
      <c r="M16" s="653"/>
      <c r="N16" s="654"/>
    </row>
    <row r="17" spans="2:14">
      <c r="B17" s="736" t="s">
        <v>52</v>
      </c>
      <c r="C17" s="737"/>
      <c r="D17" s="737"/>
      <c r="E17" s="550">
        <f>E8+E15</f>
        <v>13034722.567485999</v>
      </c>
      <c r="F17" s="550">
        <f t="shared" ref="F17:N17" si="12">F8+F15</f>
        <v>2114618.6423200015</v>
      </c>
      <c r="G17" s="550">
        <f t="shared" si="12"/>
        <v>4148628.0628539994</v>
      </c>
      <c r="H17" s="550">
        <f t="shared" si="12"/>
        <v>4148628.0628539994</v>
      </c>
      <c r="I17" s="550">
        <f t="shared" si="12"/>
        <v>4148628.0628539994</v>
      </c>
      <c r="J17" s="550">
        <f t="shared" si="12"/>
        <v>4148628.0628539994</v>
      </c>
      <c r="K17" s="550">
        <f t="shared" si="12"/>
        <v>4148628.0628539994</v>
      </c>
      <c r="L17" s="550">
        <f t="shared" si="12"/>
        <v>4148628.0628539994</v>
      </c>
      <c r="M17" s="550">
        <f t="shared" si="12"/>
        <v>4148628.0628539994</v>
      </c>
      <c r="N17" s="577">
        <f t="shared" si="12"/>
        <v>8259363.5409760009</v>
      </c>
    </row>
    <row r="18" spans="2:14">
      <c r="B18" s="470" t="s">
        <v>53</v>
      </c>
      <c r="E18" s="10">
        <f>-$F$34</f>
        <v>-346499.99999999994</v>
      </c>
      <c r="F18" s="10">
        <f t="shared" ref="F18:N18" si="13">-$F$34</f>
        <v>-346499.99999999994</v>
      </c>
      <c r="G18" s="10">
        <f t="shared" si="13"/>
        <v>-346499.99999999994</v>
      </c>
      <c r="H18" s="10">
        <f t="shared" si="13"/>
        <v>-346499.99999999994</v>
      </c>
      <c r="I18" s="10">
        <f t="shared" si="13"/>
        <v>-346499.99999999994</v>
      </c>
      <c r="J18" s="10">
        <f t="shared" si="13"/>
        <v>-346499.99999999994</v>
      </c>
      <c r="K18" s="10">
        <f t="shared" si="13"/>
        <v>-346499.99999999994</v>
      </c>
      <c r="L18" s="10">
        <f t="shared" si="13"/>
        <v>-346499.99999999994</v>
      </c>
      <c r="M18" s="10">
        <f t="shared" si="13"/>
        <v>-346499.99999999994</v>
      </c>
      <c r="N18" s="564">
        <f t="shared" si="13"/>
        <v>-346499.99999999994</v>
      </c>
    </row>
    <row r="19" spans="2:14">
      <c r="B19" s="470" t="s">
        <v>523</v>
      </c>
      <c r="E19" s="10">
        <f>-$D$34/Assumptions!$D$7</f>
        <v>-282051.28205128206</v>
      </c>
      <c r="F19" s="10">
        <f>-$D$34/Assumptions!$D$7</f>
        <v>-282051.28205128206</v>
      </c>
      <c r="G19" s="10">
        <f>-$D$34/Assumptions!$D$7</f>
        <v>-282051.28205128206</v>
      </c>
      <c r="H19" s="10">
        <f>-$D$34/Assumptions!$D$7</f>
        <v>-282051.28205128206</v>
      </c>
      <c r="I19" s="10">
        <f>-$D$34/Assumptions!$D$7</f>
        <v>-282051.28205128206</v>
      </c>
      <c r="J19" s="10">
        <f>-$D$34/Assumptions!$D$7</f>
        <v>-282051.28205128206</v>
      </c>
      <c r="K19" s="10">
        <f>-$D$34/Assumptions!$D$7</f>
        <v>-282051.28205128206</v>
      </c>
      <c r="L19" s="10">
        <f>-$D$34/Assumptions!$D$7</f>
        <v>-282051.28205128206</v>
      </c>
      <c r="M19" s="10">
        <f>-$D$34/Assumptions!$D$7</f>
        <v>-282051.28205128206</v>
      </c>
      <c r="N19" s="564">
        <f>-$D$34/Assumptions!$D$7</f>
        <v>-282051.28205128206</v>
      </c>
    </row>
    <row r="20" spans="2:14">
      <c r="B20" s="470" t="s">
        <v>524</v>
      </c>
      <c r="E20" s="10">
        <f>-C34/Assumptions!D8</f>
        <v>-28687500</v>
      </c>
      <c r="F20" s="10"/>
      <c r="G20" s="10"/>
      <c r="H20" s="10"/>
      <c r="I20" s="10"/>
      <c r="J20" s="10"/>
      <c r="K20" s="10"/>
      <c r="L20" s="10"/>
      <c r="M20" s="10"/>
      <c r="N20" s="564"/>
    </row>
    <row r="21" spans="2:14">
      <c r="B21" s="470" t="s">
        <v>56</v>
      </c>
      <c r="E21" s="10">
        <f>E17+E18+E19+E20</f>
        <v>-16281328.714565283</v>
      </c>
      <c r="F21" s="10">
        <f t="shared" ref="F21:N21" si="14">F17+F18+F19+F20</f>
        <v>1486067.3602687195</v>
      </c>
      <c r="G21" s="10">
        <f t="shared" si="14"/>
        <v>3520076.7808027174</v>
      </c>
      <c r="H21" s="10">
        <f t="shared" si="14"/>
        <v>3520076.7808027174</v>
      </c>
      <c r="I21" s="10">
        <f t="shared" si="14"/>
        <v>3520076.7808027174</v>
      </c>
      <c r="J21" s="10">
        <f t="shared" si="14"/>
        <v>3520076.7808027174</v>
      </c>
      <c r="K21" s="10">
        <f t="shared" si="14"/>
        <v>3520076.7808027174</v>
      </c>
      <c r="L21" s="10">
        <f t="shared" si="14"/>
        <v>3520076.7808027174</v>
      </c>
      <c r="M21" s="10">
        <f t="shared" si="14"/>
        <v>3520076.7808027174</v>
      </c>
      <c r="N21" s="564">
        <f t="shared" si="14"/>
        <v>7630812.2589247189</v>
      </c>
    </row>
    <row r="22" spans="2:14">
      <c r="B22" s="469" t="s">
        <v>310</v>
      </c>
      <c r="E22" s="10">
        <f>Infra!E8*Infra!$I$79</f>
        <v>4033887.46</v>
      </c>
      <c r="F22" s="10">
        <f>Infra!F8*Infra!$I$79</f>
        <v>5004447.74</v>
      </c>
      <c r="G22" s="10">
        <f>Infra!G8*Infra!$I$79</f>
        <v>5979274.7400000002</v>
      </c>
      <c r="H22" s="10">
        <f>Infra!H8*Infra!$I$79</f>
        <v>0</v>
      </c>
      <c r="I22" s="10">
        <f>Infra!I8*Infra!$I$79</f>
        <v>0</v>
      </c>
      <c r="J22" s="10">
        <f>Infra!J8*Infra!$I$79</f>
        <v>0</v>
      </c>
      <c r="K22" s="10">
        <f>Infra!K8*Infra!$I$79</f>
        <v>0</v>
      </c>
      <c r="L22" s="10">
        <f>Infra!L8*Infra!$I$79</f>
        <v>0</v>
      </c>
      <c r="M22" s="10">
        <f>Infra!M8*Infra!$I$79</f>
        <v>0</v>
      </c>
      <c r="N22" s="564">
        <f>Infra!N8*Infra!$I$79</f>
        <v>12084121.42</v>
      </c>
    </row>
    <row r="23" spans="2:14">
      <c r="B23" s="470" t="s">
        <v>58</v>
      </c>
      <c r="E23" s="10">
        <f>E21*0.3</f>
        <v>-4884398.6143695842</v>
      </c>
      <c r="F23" s="10">
        <f t="shared" ref="F23:N23" si="15">F21*0.3</f>
        <v>445820.20808061585</v>
      </c>
      <c r="G23" s="10">
        <f t="shared" si="15"/>
        <v>1056023.0342408151</v>
      </c>
      <c r="H23" s="10">
        <f t="shared" si="15"/>
        <v>1056023.0342408151</v>
      </c>
      <c r="I23" s="10">
        <f t="shared" si="15"/>
        <v>1056023.0342408151</v>
      </c>
      <c r="J23" s="10">
        <f t="shared" si="15"/>
        <v>1056023.0342408151</v>
      </c>
      <c r="K23" s="10">
        <f t="shared" si="15"/>
        <v>1056023.0342408151</v>
      </c>
      <c r="L23" s="10">
        <f t="shared" si="15"/>
        <v>1056023.0342408151</v>
      </c>
      <c r="M23" s="10">
        <f t="shared" si="15"/>
        <v>1056023.0342408151</v>
      </c>
      <c r="N23" s="564">
        <f t="shared" si="15"/>
        <v>2289243.6776774158</v>
      </c>
    </row>
    <row r="24" spans="2:14">
      <c r="B24" s="470" t="s">
        <v>59</v>
      </c>
      <c r="E24" s="10">
        <v>0</v>
      </c>
      <c r="F24" s="10">
        <f t="shared" ref="F24:N24" si="16">F17-F23</f>
        <v>1668798.4342393856</v>
      </c>
      <c r="G24" s="10">
        <f t="shared" si="16"/>
        <v>3092605.0286131846</v>
      </c>
      <c r="H24" s="10">
        <f t="shared" si="16"/>
        <v>3092605.0286131846</v>
      </c>
      <c r="I24" s="10">
        <f t="shared" si="16"/>
        <v>3092605.0286131846</v>
      </c>
      <c r="J24" s="10">
        <f t="shared" si="16"/>
        <v>3092605.0286131846</v>
      </c>
      <c r="K24" s="10">
        <f t="shared" si="16"/>
        <v>3092605.0286131846</v>
      </c>
      <c r="L24" s="10">
        <f t="shared" si="16"/>
        <v>3092605.0286131846</v>
      </c>
      <c r="M24" s="10">
        <f t="shared" si="16"/>
        <v>3092605.0286131846</v>
      </c>
      <c r="N24" s="564">
        <f t="shared" si="16"/>
        <v>5970119.8632985856</v>
      </c>
    </row>
    <row r="25" spans="2:14">
      <c r="B25" s="470" t="s">
        <v>502</v>
      </c>
      <c r="E25" s="10">
        <f>$F$33</f>
        <v>346499.99999999994</v>
      </c>
      <c r="F25" s="10">
        <f t="shared" ref="F25:N25" si="17">$F$33</f>
        <v>346499.99999999994</v>
      </c>
      <c r="G25" s="10">
        <f t="shared" si="17"/>
        <v>346499.99999999994</v>
      </c>
      <c r="H25" s="10">
        <f t="shared" si="17"/>
        <v>346499.99999999994</v>
      </c>
      <c r="I25" s="10">
        <f t="shared" si="17"/>
        <v>346499.99999999994</v>
      </c>
      <c r="J25" s="10">
        <f t="shared" si="17"/>
        <v>346499.99999999994</v>
      </c>
      <c r="K25" s="10">
        <f t="shared" si="17"/>
        <v>346499.99999999994</v>
      </c>
      <c r="L25" s="10">
        <f t="shared" si="17"/>
        <v>346499.99999999994</v>
      </c>
      <c r="M25" s="10">
        <f t="shared" si="17"/>
        <v>346499.99999999994</v>
      </c>
      <c r="N25" s="564">
        <f t="shared" si="17"/>
        <v>346499.99999999994</v>
      </c>
    </row>
    <row r="26" spans="2:14">
      <c r="B26" s="470" t="s">
        <v>62</v>
      </c>
      <c r="E26" s="446">
        <f>E24/E25</f>
        <v>0</v>
      </c>
      <c r="F26" s="446">
        <f t="shared" ref="F26:N26" si="18">F24/F25</f>
        <v>4.8161570973719652</v>
      </c>
      <c r="G26" s="446">
        <f t="shared" si="18"/>
        <v>8.9252670378446908</v>
      </c>
      <c r="H26" s="446">
        <f t="shared" si="18"/>
        <v>8.9252670378446908</v>
      </c>
      <c r="I26" s="446">
        <f t="shared" si="18"/>
        <v>8.9252670378446908</v>
      </c>
      <c r="J26" s="446">
        <f t="shared" si="18"/>
        <v>8.9252670378446908</v>
      </c>
      <c r="K26" s="446">
        <f t="shared" si="18"/>
        <v>8.9252670378446908</v>
      </c>
      <c r="L26" s="446">
        <f t="shared" si="18"/>
        <v>8.9252670378446908</v>
      </c>
      <c r="M26" s="446">
        <f t="shared" si="18"/>
        <v>8.9252670378446908</v>
      </c>
      <c r="N26" s="566">
        <f t="shared" si="18"/>
        <v>17.229783155262876</v>
      </c>
    </row>
    <row r="27" spans="2:14">
      <c r="B27" s="469" t="s">
        <v>504</v>
      </c>
      <c r="E27" s="12">
        <f>SUM(-E22,E17,E25)</f>
        <v>9347335.1074859984</v>
      </c>
      <c r="F27" s="12">
        <f t="shared" ref="F27:N27" si="19">SUM(-F22,F17,F25)</f>
        <v>-2543329.0976799987</v>
      </c>
      <c r="G27" s="12">
        <f t="shared" si="19"/>
        <v>-1484146.6771460008</v>
      </c>
      <c r="H27" s="12">
        <f t="shared" si="19"/>
        <v>4495128.0628539994</v>
      </c>
      <c r="I27" s="12">
        <f t="shared" si="19"/>
        <v>4495128.0628539994</v>
      </c>
      <c r="J27" s="12">
        <f t="shared" si="19"/>
        <v>4495128.0628539994</v>
      </c>
      <c r="K27" s="12">
        <f t="shared" si="19"/>
        <v>4495128.0628539994</v>
      </c>
      <c r="L27" s="12">
        <f t="shared" si="19"/>
        <v>4495128.0628539994</v>
      </c>
      <c r="M27" s="12">
        <f t="shared" si="19"/>
        <v>4495128.0628539994</v>
      </c>
      <c r="N27" s="565">
        <f t="shared" si="19"/>
        <v>-3478257.879023999</v>
      </c>
    </row>
    <row r="28" spans="2:14" ht="14.1" thickBot="1">
      <c r="B28" s="567" t="s">
        <v>63</v>
      </c>
      <c r="C28" s="20"/>
      <c r="D28" s="20"/>
      <c r="E28" s="21">
        <f>((E26-1))*E25</f>
        <v>-346499.99999999994</v>
      </c>
      <c r="F28" s="21">
        <f t="shared" ref="F28:N28" si="20">((F26-1))*F25</f>
        <v>1322298.4342393856</v>
      </c>
      <c r="G28" s="21">
        <f t="shared" si="20"/>
        <v>2746105.028613185</v>
      </c>
      <c r="H28" s="21">
        <f t="shared" si="20"/>
        <v>2746105.028613185</v>
      </c>
      <c r="I28" s="21">
        <f t="shared" si="20"/>
        <v>2746105.028613185</v>
      </c>
      <c r="J28" s="21">
        <f t="shared" si="20"/>
        <v>2746105.028613185</v>
      </c>
      <c r="K28" s="21">
        <f t="shared" si="20"/>
        <v>2746105.028613185</v>
      </c>
      <c r="L28" s="21">
        <f t="shared" si="20"/>
        <v>2746105.028613185</v>
      </c>
      <c r="M28" s="21">
        <f t="shared" si="20"/>
        <v>2746105.028613185</v>
      </c>
      <c r="N28" s="568">
        <f t="shared" si="20"/>
        <v>5623619.8632985856</v>
      </c>
    </row>
    <row r="29" spans="2:14">
      <c r="E29">
        <v>0</v>
      </c>
      <c r="F29" s="101">
        <f>(F4-E4)/E4</f>
        <v>1.24060172466983</v>
      </c>
      <c r="G29" s="101">
        <f t="shared" ref="G29:N29" si="21">(G4-F4)/F4</f>
        <v>0.66154602675059004</v>
      </c>
      <c r="H29" s="101">
        <f>(H4-G4)/G4</f>
        <v>0</v>
      </c>
      <c r="I29" s="101">
        <f>(I4-H4)/H4</f>
        <v>0</v>
      </c>
      <c r="J29" s="101">
        <f t="shared" si="21"/>
        <v>0</v>
      </c>
      <c r="K29" s="101">
        <f t="shared" si="21"/>
        <v>0</v>
      </c>
      <c r="L29" s="101">
        <f t="shared" si="21"/>
        <v>0</v>
      </c>
      <c r="M29" s="101">
        <f t="shared" si="21"/>
        <v>0</v>
      </c>
      <c r="N29" s="101">
        <f t="shared" si="21"/>
        <v>0.80466342302668703</v>
      </c>
    </row>
    <row r="30" spans="2:14">
      <c r="B30" t="s">
        <v>505</v>
      </c>
      <c r="C30" s="14">
        <f>Assumptions!B44</f>
        <v>8.2500000000000004E-2</v>
      </c>
    </row>
    <row r="31" spans="2:14">
      <c r="B31" t="s">
        <v>506</v>
      </c>
      <c r="C31" s="7">
        <f>N17/C30</f>
        <v>100113497.46637577</v>
      </c>
      <c r="D31" s="7"/>
      <c r="E31" t="s">
        <v>489</v>
      </c>
      <c r="F31" s="10">
        <f>D34*Assumptions!D16</f>
        <v>7699999.9999999991</v>
      </c>
      <c r="I31" s="18"/>
      <c r="J31" s="6"/>
      <c r="K31" s="6"/>
      <c r="L31" s="6"/>
    </row>
    <row r="32" spans="2:14">
      <c r="C32" s="7"/>
      <c r="E32" s="70" t="s">
        <v>507</v>
      </c>
      <c r="F32" s="10">
        <f>(F31*Assumptions!D17)/12</f>
        <v>28874.999999999996</v>
      </c>
      <c r="J32" s="6"/>
      <c r="K32" s="6"/>
      <c r="L32" s="6"/>
    </row>
    <row r="33" spans="2:12">
      <c r="B33" t="s">
        <v>514</v>
      </c>
      <c r="C33" s="7">
        <f>Assumptions!D11*Assumptions!B36</f>
        <v>372937500</v>
      </c>
      <c r="E33" s="70" t="s">
        <v>509</v>
      </c>
      <c r="F33" s="10">
        <f>F32*12</f>
        <v>346499.99999999994</v>
      </c>
      <c r="J33" s="6"/>
      <c r="K33" s="6"/>
      <c r="L33" s="6"/>
    </row>
    <row r="34" spans="2:12">
      <c r="B34" t="s">
        <v>525</v>
      </c>
      <c r="C34" s="7">
        <f>Assumptions!B39</f>
        <v>28687500</v>
      </c>
      <c r="D34" s="65">
        <v>11000000</v>
      </c>
      <c r="E34" t="s">
        <v>511</v>
      </c>
      <c r="F34" s="10">
        <f>F33</f>
        <v>346499.99999999994</v>
      </c>
      <c r="J34" s="6"/>
      <c r="K34" s="6"/>
      <c r="L34" s="6"/>
    </row>
    <row r="35" spans="2:12">
      <c r="B35" t="s">
        <v>516</v>
      </c>
      <c r="C35" s="8">
        <f>C33*0.8</f>
        <v>298350000</v>
      </c>
      <c r="F35" s="6"/>
      <c r="J35" s="6"/>
      <c r="K35" s="6"/>
      <c r="L35" s="6"/>
    </row>
    <row r="36" spans="2:12">
      <c r="B36" s="70" t="s">
        <v>517</v>
      </c>
      <c r="C36" s="8">
        <f>C35*Assumptions!D4</f>
        <v>41769000.000000007</v>
      </c>
      <c r="E36" s="70"/>
      <c r="J36" s="6"/>
      <c r="K36" s="6"/>
      <c r="L36" s="6"/>
    </row>
    <row r="37" spans="2:12">
      <c r="B37" s="70" t="s">
        <v>518</v>
      </c>
      <c r="C37" s="2">
        <v>8.2000000000000007E-3</v>
      </c>
      <c r="D37" s="9"/>
      <c r="J37" s="6"/>
      <c r="K37" s="6"/>
      <c r="L37" s="6"/>
    </row>
    <row r="38" spans="2:12">
      <c r="B38" s="70" t="s">
        <v>512</v>
      </c>
      <c r="C38" s="144">
        <v>0.03</v>
      </c>
      <c r="J38" s="6"/>
      <c r="K38" s="6"/>
      <c r="L38" s="6"/>
    </row>
    <row r="39" spans="2:12">
      <c r="B39" t="s">
        <v>519</v>
      </c>
      <c r="C39" s="15">
        <f>C36*C37</f>
        <v>342505.8000000001</v>
      </c>
      <c r="I39" s="19"/>
      <c r="J39" s="6"/>
      <c r="K39" s="6"/>
      <c r="L39" s="6"/>
    </row>
    <row r="40" spans="2:12">
      <c r="B40" t="s">
        <v>520</v>
      </c>
      <c r="C40" s="15">
        <f>C39</f>
        <v>342505.8000000001</v>
      </c>
      <c r="I40" s="19"/>
      <c r="J40" s="6"/>
      <c r="K40" s="6"/>
      <c r="L40" s="6"/>
    </row>
    <row r="41" spans="2:12">
      <c r="B41" t="s">
        <v>526</v>
      </c>
      <c r="C41" s="15">
        <f>C39+C40</f>
        <v>685011.60000000021</v>
      </c>
    </row>
    <row r="46" spans="2:12">
      <c r="F46" s="6"/>
    </row>
  </sheetData>
  <mergeCells count="16">
    <mergeCell ref="B2:N2"/>
    <mergeCell ref="B15:D15"/>
    <mergeCell ref="B16:N16"/>
    <mergeCell ref="B17:D17"/>
    <mergeCell ref="B9:D9"/>
    <mergeCell ref="B10:D10"/>
    <mergeCell ref="B11:D11"/>
    <mergeCell ref="B12:D12"/>
    <mergeCell ref="B13:D13"/>
    <mergeCell ref="B14:D14"/>
    <mergeCell ref="B8:D8"/>
    <mergeCell ref="B3:D3"/>
    <mergeCell ref="B4:D4"/>
    <mergeCell ref="B5:D5"/>
    <mergeCell ref="B6:D6"/>
    <mergeCell ref="B7:D7"/>
  </mergeCells>
  <pageMargins left="0.7" right="0.7" top="0.75" bottom="0.75" header="0.3" footer="0.3"/>
  <pageSetup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D0D48330F6CE4FB6B3AE62FA39CE46" ma:contentTypeVersion="13" ma:contentTypeDescription="Create a new document." ma:contentTypeScope="" ma:versionID="f32cc034c3758f9fd30b54e541e82f85">
  <xsd:schema xmlns:xsd="http://www.w3.org/2001/XMLSchema" xmlns:xs="http://www.w3.org/2001/XMLSchema" xmlns:p="http://schemas.microsoft.com/office/2006/metadata/properties" xmlns:ns2="07832773-9414-42b9-95c3-36a558d8f74c" xmlns:ns3="9f6012f1-210b-47d8-98a5-79507b18255d" targetNamespace="http://schemas.microsoft.com/office/2006/metadata/properties" ma:root="true" ma:fieldsID="e2d3c521a65e7e39ac94d6cca4bf610c" ns2:_="" ns3:_="">
    <xsd:import namespace="07832773-9414-42b9-95c3-36a558d8f74c"/>
    <xsd:import namespace="9f6012f1-210b-47d8-98a5-79507b1825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832773-9414-42b9-95c3-36a558d8f7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6012f1-210b-47d8-98a5-79507b18255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E0E209-9F79-4E05-AD13-9E4DBEAEFA58}"/>
</file>

<file path=customXml/itemProps2.xml><?xml version="1.0" encoding="utf-8"?>
<ds:datastoreItem xmlns:ds="http://schemas.openxmlformats.org/officeDocument/2006/customXml" ds:itemID="{E5B4B546-D8A2-41DE-AB6C-BFBB8F3FFA0B}"/>
</file>

<file path=customXml/itemProps3.xml><?xml version="1.0" encoding="utf-8"?>
<ds:datastoreItem xmlns:ds="http://schemas.openxmlformats.org/officeDocument/2006/customXml" ds:itemID="{5D368FB3-6FAA-475A-9A49-382B9BC104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Scott Berry</dc:creator>
  <cp:keywords/>
  <dc:description/>
  <cp:lastModifiedBy>Sarah Kraatz</cp:lastModifiedBy>
  <cp:revision/>
  <dcterms:created xsi:type="dcterms:W3CDTF">2021-10-08T15:00:11Z</dcterms:created>
  <dcterms:modified xsi:type="dcterms:W3CDTF">2022-01-26T17:33:12Z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0x01010007D0D48330F6CE4FB6B3AE62FA39CE46</vt:lpwstr>
  </property>
</Properties>
</file>